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kovert.sharepoint.com/sites/MPAAglomeracjaJeleniogrska/Shared Documents/General/PRODUKTY/ETAP I/III ODDANIE/MACIERZE_DO_DALSZEJ_PRACY/"/>
    </mc:Choice>
  </mc:AlternateContent>
  <xr:revisionPtr revIDLastSave="131" documentId="13_ncr:1_{CA4927A7-73A2-4183-A1C4-5BEAB5C2EA03}" xr6:coauthVersionLast="47" xr6:coauthVersionMax="47" xr10:uidLastSave="{22D90A01-FD27-492A-B7CF-1C6D7FB8E7FF}"/>
  <bookViews>
    <workbookView xWindow="-120" yWindow="-120" windowWidth="25440" windowHeight="15390" xr2:uid="{3F06503C-05D9-41BB-AF9E-11465CEAC2E5}"/>
  </bookViews>
  <sheets>
    <sheet name="POWODZIE" sheetId="2" r:id="rId1"/>
    <sheet name="PODTOPIENIA" sheetId="3" r:id="rId2"/>
    <sheet name="DESZCZE NAWALNE" sheetId="6" r:id="rId3"/>
    <sheet name="OKRESY BEZOPADOWE" sheetId="9" r:id="rId4"/>
    <sheet name="SUSZE" sheetId="1" r:id="rId5"/>
    <sheet name="FALE UPAŁÓW" sheetId="4" r:id="rId6"/>
    <sheet name="DNI GORĄCE" sheetId="5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6" i="2" l="1"/>
  <c r="U16" i="2" s="1"/>
  <c r="V16" i="2" s="1"/>
  <c r="Z16" i="2"/>
  <c r="T16" i="2"/>
  <c r="W3" i="1"/>
  <c r="X3" i="1" s="1"/>
  <c r="W4" i="1"/>
  <c r="X4" i="1" s="1"/>
  <c r="W5" i="1"/>
  <c r="X5" i="1" s="1"/>
  <c r="W6" i="1"/>
  <c r="X6" i="1" s="1"/>
  <c r="W7" i="1"/>
  <c r="X7" i="1" s="1"/>
  <c r="W8" i="1"/>
  <c r="X8" i="1" s="1"/>
  <c r="W9" i="1"/>
  <c r="X9" i="1" s="1"/>
  <c r="W10" i="1"/>
  <c r="X10" i="1" s="1"/>
  <c r="W11" i="1"/>
  <c r="X11" i="1" s="1"/>
  <c r="W12" i="1"/>
  <c r="X12" i="1" s="1"/>
  <c r="W13" i="1"/>
  <c r="X13" i="1" s="1"/>
  <c r="W14" i="1"/>
  <c r="X14" i="1" s="1"/>
  <c r="W15" i="1"/>
  <c r="X15" i="1" s="1"/>
  <c r="W16" i="1"/>
  <c r="X16" i="1" s="1"/>
  <c r="W17" i="1"/>
  <c r="X17" i="1" s="1"/>
  <c r="W18" i="1"/>
  <c r="X18" i="1" s="1"/>
  <c r="W19" i="1"/>
  <c r="X19" i="1" s="1"/>
  <c r="W20" i="1"/>
  <c r="X20" i="1" s="1"/>
  <c r="W21" i="1"/>
  <c r="X21" i="1" s="1"/>
  <c r="W22" i="1"/>
  <c r="X22" i="1" s="1"/>
  <c r="W23" i="1"/>
  <c r="X23" i="1" s="1"/>
  <c r="W24" i="1"/>
  <c r="X24" i="1" s="1"/>
  <c r="W25" i="1"/>
  <c r="X25" i="1" s="1"/>
  <c r="W26" i="1"/>
  <c r="X26" i="1" s="1"/>
  <c r="W27" i="1"/>
  <c r="X27" i="1" s="1"/>
  <c r="Z4" i="3"/>
  <c r="Z8" i="3"/>
  <c r="Z20" i="3"/>
  <c r="Z24" i="3"/>
  <c r="Y3" i="3"/>
  <c r="Z3" i="3" s="1"/>
  <c r="Y4" i="3"/>
  <c r="Y5" i="3"/>
  <c r="Z5" i="3" s="1"/>
  <c r="Y6" i="3"/>
  <c r="Z6" i="3" s="1"/>
  <c r="Y7" i="3"/>
  <c r="Z7" i="3" s="1"/>
  <c r="Y8" i="3"/>
  <c r="Y9" i="3"/>
  <c r="Z9" i="3" s="1"/>
  <c r="Y10" i="3"/>
  <c r="Z10" i="3" s="1"/>
  <c r="Y11" i="3"/>
  <c r="Z11" i="3" s="1"/>
  <c r="Y12" i="3"/>
  <c r="Z12" i="3" s="1"/>
  <c r="Y13" i="3"/>
  <c r="Z13" i="3" s="1"/>
  <c r="Y14" i="3"/>
  <c r="Z14" i="3" s="1"/>
  <c r="Y15" i="3"/>
  <c r="Z15" i="3" s="1"/>
  <c r="Y16" i="3"/>
  <c r="Z16" i="3" s="1"/>
  <c r="Y17" i="3"/>
  <c r="Z17" i="3" s="1"/>
  <c r="Y18" i="3"/>
  <c r="Z18" i="3" s="1"/>
  <c r="Y19" i="3"/>
  <c r="Z19" i="3" s="1"/>
  <c r="Y20" i="3"/>
  <c r="Y21" i="3"/>
  <c r="Z21" i="3" s="1"/>
  <c r="Y22" i="3"/>
  <c r="Z22" i="3" s="1"/>
  <c r="Y23" i="3"/>
  <c r="Z23" i="3" s="1"/>
  <c r="Y24" i="3"/>
  <c r="Y25" i="3"/>
  <c r="Z25" i="3" s="1"/>
  <c r="Y26" i="3"/>
  <c r="Z26" i="3" s="1"/>
  <c r="Y27" i="3"/>
  <c r="Z27" i="3" s="1"/>
  <c r="Z3" i="2"/>
  <c r="Z4" i="2"/>
  <c r="Z5" i="2"/>
  <c r="Z6" i="2"/>
  <c r="Z7" i="2"/>
  <c r="Z8" i="2"/>
  <c r="Z9" i="2"/>
  <c r="Z10" i="2"/>
  <c r="Z11" i="2"/>
  <c r="Z12" i="2"/>
  <c r="Z13" i="2"/>
  <c r="Z14" i="2"/>
  <c r="Z15" i="2"/>
  <c r="Z17" i="2"/>
  <c r="Z18" i="2"/>
  <c r="Z19" i="2"/>
  <c r="Z20" i="2"/>
  <c r="Z21" i="2"/>
  <c r="Z22" i="2"/>
  <c r="Z23" i="2"/>
  <c r="Z24" i="2"/>
  <c r="Z25" i="2"/>
  <c r="Z26" i="2"/>
  <c r="Z27" i="2"/>
  <c r="Y3" i="2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X3" i="9"/>
  <c r="X4" i="9"/>
  <c r="X5" i="9"/>
  <c r="X6" i="9"/>
  <c r="X7" i="9"/>
  <c r="X8" i="9"/>
  <c r="X9" i="9"/>
  <c r="X10" i="9"/>
  <c r="X11" i="9"/>
  <c r="X12" i="9"/>
  <c r="X13" i="9"/>
  <c r="X14" i="9"/>
  <c r="X15" i="9"/>
  <c r="X16" i="9"/>
  <c r="X17" i="9"/>
  <c r="X18" i="9"/>
  <c r="X19" i="9"/>
  <c r="X20" i="9"/>
  <c r="X21" i="9"/>
  <c r="X22" i="9"/>
  <c r="X23" i="9"/>
  <c r="X24" i="9"/>
  <c r="X25" i="9"/>
  <c r="X26" i="9"/>
  <c r="X27" i="9"/>
  <c r="W3" i="9"/>
  <c r="W4" i="9"/>
  <c r="W5" i="9"/>
  <c r="W6" i="9"/>
  <c r="W7" i="9"/>
  <c r="W8" i="9"/>
  <c r="W9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Z3" i="6"/>
  <c r="Z4" i="6"/>
  <c r="Z5" i="6"/>
  <c r="Z6" i="6"/>
  <c r="Z7" i="6"/>
  <c r="Z8" i="6"/>
  <c r="Z9" i="6"/>
  <c r="Z10" i="6"/>
  <c r="Z11" i="6"/>
  <c r="Z12" i="6"/>
  <c r="Z13" i="6"/>
  <c r="Z14" i="6"/>
  <c r="Z15" i="6"/>
  <c r="Z16" i="6"/>
  <c r="Z17" i="6"/>
  <c r="Z18" i="6"/>
  <c r="Z19" i="6"/>
  <c r="Z20" i="6"/>
  <c r="Z21" i="6"/>
  <c r="Z22" i="6"/>
  <c r="Z23" i="6"/>
  <c r="Z24" i="6"/>
  <c r="Z25" i="6"/>
  <c r="Z26" i="6"/>
  <c r="Z27" i="6"/>
  <c r="Y3" i="6"/>
  <c r="Y4" i="6"/>
  <c r="Y5" i="6"/>
  <c r="Y6" i="6"/>
  <c r="Y7" i="6"/>
  <c r="Y8" i="6"/>
  <c r="Y9" i="6"/>
  <c r="Y10" i="6"/>
  <c r="Y11" i="6"/>
  <c r="Y12" i="6"/>
  <c r="Y13" i="6"/>
  <c r="Y14" i="6"/>
  <c r="Y15" i="6"/>
  <c r="Y16" i="6"/>
  <c r="Y17" i="6"/>
  <c r="Y18" i="6"/>
  <c r="Y19" i="6"/>
  <c r="Y20" i="6"/>
  <c r="Y21" i="6"/>
  <c r="Y22" i="6"/>
  <c r="Y23" i="6"/>
  <c r="Y24" i="6"/>
  <c r="Y25" i="6"/>
  <c r="Y26" i="6"/>
  <c r="Y27" i="6"/>
  <c r="X3" i="4"/>
  <c r="X4" i="4"/>
  <c r="X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W3" i="4"/>
  <c r="W4" i="4"/>
  <c r="W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X3" i="5"/>
  <c r="X4" i="5"/>
  <c r="X5" i="5"/>
  <c r="X6" i="5"/>
  <c r="X7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W3" i="5"/>
  <c r="W4" i="5"/>
  <c r="W5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7" i="4"/>
  <c r="S3" i="4"/>
  <c r="S4" i="4"/>
  <c r="S5" i="4"/>
  <c r="S2" i="4"/>
  <c r="W2" i="5"/>
  <c r="X2" i="5" s="1"/>
  <c r="W2" i="4"/>
  <c r="X2" i="4" s="1"/>
  <c r="W2" i="1"/>
  <c r="X2" i="1" s="1"/>
  <c r="W2" i="9"/>
  <c r="X2" i="9" s="1"/>
  <c r="Y2" i="6"/>
  <c r="Z2" i="6" s="1"/>
  <c r="Y2" i="3"/>
  <c r="Z2" i="3" s="1"/>
  <c r="Y2" i="2"/>
  <c r="Z2" i="2" s="1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" i="5"/>
  <c r="K27" i="5"/>
  <c r="G27" i="5"/>
  <c r="H27" i="5" s="1"/>
  <c r="I27" i="5" s="1"/>
  <c r="F27" i="5"/>
  <c r="D27" i="5"/>
  <c r="K26" i="5"/>
  <c r="G26" i="5"/>
  <c r="H26" i="5" s="1"/>
  <c r="I26" i="5" s="1"/>
  <c r="F26" i="5"/>
  <c r="D26" i="5"/>
  <c r="K25" i="5"/>
  <c r="H25" i="5"/>
  <c r="I25" i="5" s="1"/>
  <c r="G25" i="5"/>
  <c r="F25" i="5"/>
  <c r="D25" i="5"/>
  <c r="K24" i="5"/>
  <c r="G24" i="5"/>
  <c r="H24" i="5" s="1"/>
  <c r="I24" i="5" s="1"/>
  <c r="F24" i="5"/>
  <c r="D24" i="5"/>
  <c r="K23" i="5"/>
  <c r="G23" i="5"/>
  <c r="H23" i="5" s="1"/>
  <c r="I23" i="5" s="1"/>
  <c r="F23" i="5"/>
  <c r="D23" i="5"/>
  <c r="K22" i="5"/>
  <c r="G22" i="5"/>
  <c r="H22" i="5" s="1"/>
  <c r="I22" i="5" s="1"/>
  <c r="F22" i="5"/>
  <c r="D22" i="5"/>
  <c r="K21" i="5"/>
  <c r="H21" i="5"/>
  <c r="I21" i="5" s="1"/>
  <c r="G21" i="5"/>
  <c r="F21" i="5"/>
  <c r="D21" i="5"/>
  <c r="K20" i="5"/>
  <c r="G20" i="5"/>
  <c r="H20" i="5" s="1"/>
  <c r="I20" i="5" s="1"/>
  <c r="F20" i="5"/>
  <c r="D20" i="5"/>
  <c r="K19" i="5"/>
  <c r="G19" i="5"/>
  <c r="H19" i="5" s="1"/>
  <c r="I19" i="5" s="1"/>
  <c r="F19" i="5"/>
  <c r="D19" i="5"/>
  <c r="K18" i="5"/>
  <c r="G18" i="5"/>
  <c r="H18" i="5" s="1"/>
  <c r="I18" i="5" s="1"/>
  <c r="F18" i="5"/>
  <c r="D18" i="5"/>
  <c r="K17" i="5"/>
  <c r="H17" i="5"/>
  <c r="I17" i="5" s="1"/>
  <c r="G17" i="5"/>
  <c r="F17" i="5"/>
  <c r="D17" i="5"/>
  <c r="K16" i="5"/>
  <c r="G16" i="5"/>
  <c r="H16" i="5" s="1"/>
  <c r="I16" i="5" s="1"/>
  <c r="F16" i="5"/>
  <c r="D16" i="5"/>
  <c r="K15" i="5"/>
  <c r="G15" i="5"/>
  <c r="H15" i="5" s="1"/>
  <c r="I15" i="5" s="1"/>
  <c r="F15" i="5"/>
  <c r="D15" i="5"/>
  <c r="K14" i="5"/>
  <c r="G14" i="5"/>
  <c r="H14" i="5" s="1"/>
  <c r="I14" i="5" s="1"/>
  <c r="F14" i="5"/>
  <c r="D14" i="5"/>
  <c r="K13" i="5"/>
  <c r="H13" i="5"/>
  <c r="I13" i="5" s="1"/>
  <c r="G13" i="5"/>
  <c r="F13" i="5"/>
  <c r="D13" i="5"/>
  <c r="K12" i="5"/>
  <c r="G12" i="5"/>
  <c r="H12" i="5" s="1"/>
  <c r="I12" i="5" s="1"/>
  <c r="F12" i="5"/>
  <c r="D12" i="5"/>
  <c r="K11" i="5"/>
  <c r="G11" i="5"/>
  <c r="H11" i="5" s="1"/>
  <c r="I11" i="5" s="1"/>
  <c r="F11" i="5"/>
  <c r="D11" i="5"/>
  <c r="K10" i="5"/>
  <c r="G10" i="5"/>
  <c r="H10" i="5" s="1"/>
  <c r="I10" i="5" s="1"/>
  <c r="F10" i="5"/>
  <c r="D10" i="5"/>
  <c r="K9" i="5"/>
  <c r="H9" i="5"/>
  <c r="I9" i="5" s="1"/>
  <c r="G9" i="5"/>
  <c r="F9" i="5"/>
  <c r="D9" i="5"/>
  <c r="K8" i="5"/>
  <c r="H8" i="5"/>
  <c r="I8" i="5" s="1"/>
  <c r="F8" i="5"/>
  <c r="D8" i="5"/>
  <c r="K7" i="5"/>
  <c r="G7" i="5"/>
  <c r="H7" i="5" s="1"/>
  <c r="I7" i="5" s="1"/>
  <c r="F7" i="5"/>
  <c r="D7" i="5"/>
  <c r="K6" i="5"/>
  <c r="G6" i="5"/>
  <c r="H6" i="5" s="1"/>
  <c r="I6" i="5" s="1"/>
  <c r="F6" i="5"/>
  <c r="D6" i="5"/>
  <c r="K5" i="5"/>
  <c r="G5" i="5"/>
  <c r="H5" i="5" s="1"/>
  <c r="I5" i="5" s="1"/>
  <c r="F5" i="5"/>
  <c r="D5" i="5"/>
  <c r="K4" i="5"/>
  <c r="G4" i="5"/>
  <c r="H4" i="5" s="1"/>
  <c r="I4" i="5" s="1"/>
  <c r="F4" i="5"/>
  <c r="D4" i="5"/>
  <c r="K3" i="5"/>
  <c r="G3" i="5"/>
  <c r="H3" i="5" s="1"/>
  <c r="I3" i="5" s="1"/>
  <c r="F3" i="5"/>
  <c r="D3" i="5"/>
  <c r="K2" i="5"/>
  <c r="G2" i="5"/>
  <c r="H2" i="5" s="1"/>
  <c r="I2" i="5" s="1"/>
  <c r="F2" i="5"/>
  <c r="C2" i="5"/>
  <c r="D2" i="5" s="1"/>
  <c r="R3" i="4"/>
  <c r="R4" i="4"/>
  <c r="R5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" i="4"/>
  <c r="K27" i="4"/>
  <c r="G27" i="4"/>
  <c r="H27" i="4" s="1"/>
  <c r="I27" i="4" s="1"/>
  <c r="F27" i="4"/>
  <c r="D27" i="4"/>
  <c r="K26" i="4"/>
  <c r="G26" i="4"/>
  <c r="H26" i="4" s="1"/>
  <c r="I26" i="4" s="1"/>
  <c r="F26" i="4"/>
  <c r="D26" i="4"/>
  <c r="K25" i="4"/>
  <c r="G25" i="4"/>
  <c r="H25" i="4" s="1"/>
  <c r="I25" i="4" s="1"/>
  <c r="F25" i="4"/>
  <c r="D25" i="4"/>
  <c r="K24" i="4"/>
  <c r="G24" i="4"/>
  <c r="H24" i="4" s="1"/>
  <c r="I24" i="4" s="1"/>
  <c r="F24" i="4"/>
  <c r="D24" i="4"/>
  <c r="K23" i="4"/>
  <c r="G23" i="4"/>
  <c r="H23" i="4" s="1"/>
  <c r="I23" i="4" s="1"/>
  <c r="F23" i="4"/>
  <c r="D23" i="4"/>
  <c r="K22" i="4"/>
  <c r="G22" i="4"/>
  <c r="H22" i="4" s="1"/>
  <c r="I22" i="4" s="1"/>
  <c r="F22" i="4"/>
  <c r="D22" i="4"/>
  <c r="K21" i="4"/>
  <c r="G21" i="4"/>
  <c r="H21" i="4" s="1"/>
  <c r="I21" i="4" s="1"/>
  <c r="F21" i="4"/>
  <c r="D21" i="4"/>
  <c r="K20" i="4"/>
  <c r="G20" i="4"/>
  <c r="H20" i="4" s="1"/>
  <c r="I20" i="4" s="1"/>
  <c r="F20" i="4"/>
  <c r="D20" i="4"/>
  <c r="K19" i="4"/>
  <c r="G19" i="4"/>
  <c r="H19" i="4" s="1"/>
  <c r="I19" i="4" s="1"/>
  <c r="F19" i="4"/>
  <c r="D19" i="4"/>
  <c r="K18" i="4"/>
  <c r="G18" i="4"/>
  <c r="H18" i="4" s="1"/>
  <c r="I18" i="4" s="1"/>
  <c r="F18" i="4"/>
  <c r="D18" i="4"/>
  <c r="K17" i="4"/>
  <c r="G17" i="4"/>
  <c r="H17" i="4" s="1"/>
  <c r="I17" i="4" s="1"/>
  <c r="F17" i="4"/>
  <c r="D17" i="4"/>
  <c r="K16" i="4"/>
  <c r="G16" i="4"/>
  <c r="H16" i="4" s="1"/>
  <c r="I16" i="4" s="1"/>
  <c r="F16" i="4"/>
  <c r="D16" i="4"/>
  <c r="K15" i="4"/>
  <c r="G15" i="4"/>
  <c r="H15" i="4" s="1"/>
  <c r="I15" i="4" s="1"/>
  <c r="F15" i="4"/>
  <c r="D15" i="4"/>
  <c r="K14" i="4"/>
  <c r="G14" i="4"/>
  <c r="H14" i="4" s="1"/>
  <c r="I14" i="4" s="1"/>
  <c r="F14" i="4"/>
  <c r="D14" i="4"/>
  <c r="K13" i="4"/>
  <c r="G13" i="4"/>
  <c r="H13" i="4" s="1"/>
  <c r="I13" i="4" s="1"/>
  <c r="F13" i="4"/>
  <c r="D13" i="4"/>
  <c r="K12" i="4"/>
  <c r="G12" i="4"/>
  <c r="H12" i="4" s="1"/>
  <c r="I12" i="4" s="1"/>
  <c r="F12" i="4"/>
  <c r="D12" i="4"/>
  <c r="K11" i="4"/>
  <c r="G11" i="4"/>
  <c r="H11" i="4" s="1"/>
  <c r="I11" i="4" s="1"/>
  <c r="F11" i="4"/>
  <c r="D11" i="4"/>
  <c r="K10" i="4"/>
  <c r="G10" i="4"/>
  <c r="H10" i="4" s="1"/>
  <c r="I10" i="4" s="1"/>
  <c r="F10" i="4"/>
  <c r="D10" i="4"/>
  <c r="K9" i="4"/>
  <c r="G9" i="4"/>
  <c r="H9" i="4" s="1"/>
  <c r="I9" i="4" s="1"/>
  <c r="F9" i="4"/>
  <c r="D9" i="4"/>
  <c r="K8" i="4"/>
  <c r="H8" i="4"/>
  <c r="I8" i="4" s="1"/>
  <c r="F8" i="4"/>
  <c r="D8" i="4"/>
  <c r="K7" i="4"/>
  <c r="G7" i="4"/>
  <c r="H7" i="4" s="1"/>
  <c r="I7" i="4" s="1"/>
  <c r="F7" i="4"/>
  <c r="D7" i="4"/>
  <c r="K6" i="4"/>
  <c r="G6" i="4"/>
  <c r="H6" i="4" s="1"/>
  <c r="I6" i="4" s="1"/>
  <c r="F6" i="4"/>
  <c r="D6" i="4"/>
  <c r="K5" i="4"/>
  <c r="G5" i="4"/>
  <c r="H5" i="4" s="1"/>
  <c r="I5" i="4" s="1"/>
  <c r="F5" i="4"/>
  <c r="D5" i="4"/>
  <c r="K4" i="4"/>
  <c r="G4" i="4"/>
  <c r="H4" i="4" s="1"/>
  <c r="I4" i="4" s="1"/>
  <c r="F4" i="4"/>
  <c r="D4" i="4"/>
  <c r="K3" i="4"/>
  <c r="G3" i="4"/>
  <c r="H3" i="4" s="1"/>
  <c r="I3" i="4" s="1"/>
  <c r="F3" i="4"/>
  <c r="D3" i="4"/>
  <c r="K2" i="4"/>
  <c r="G2" i="4"/>
  <c r="H2" i="4" s="1"/>
  <c r="I2" i="4" s="1"/>
  <c r="F2" i="4"/>
  <c r="C2" i="4"/>
  <c r="D2" i="4" s="1"/>
  <c r="R3" i="1"/>
  <c r="R4" i="1"/>
  <c r="R5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" i="1"/>
  <c r="K27" i="1"/>
  <c r="G27" i="1"/>
  <c r="H27" i="1" s="1"/>
  <c r="I27" i="1" s="1"/>
  <c r="F27" i="1"/>
  <c r="D27" i="1"/>
  <c r="K26" i="1"/>
  <c r="G26" i="1"/>
  <c r="H26" i="1" s="1"/>
  <c r="I26" i="1" s="1"/>
  <c r="F26" i="1"/>
  <c r="D26" i="1"/>
  <c r="K25" i="1"/>
  <c r="G25" i="1"/>
  <c r="H25" i="1" s="1"/>
  <c r="I25" i="1" s="1"/>
  <c r="F25" i="1"/>
  <c r="D25" i="1"/>
  <c r="K24" i="1"/>
  <c r="G24" i="1"/>
  <c r="H24" i="1" s="1"/>
  <c r="I24" i="1" s="1"/>
  <c r="F24" i="1"/>
  <c r="D24" i="1"/>
  <c r="K23" i="1"/>
  <c r="G23" i="1"/>
  <c r="H23" i="1" s="1"/>
  <c r="I23" i="1" s="1"/>
  <c r="F23" i="1"/>
  <c r="D23" i="1"/>
  <c r="K22" i="1"/>
  <c r="G22" i="1"/>
  <c r="H22" i="1" s="1"/>
  <c r="I22" i="1" s="1"/>
  <c r="F22" i="1"/>
  <c r="D22" i="1"/>
  <c r="K21" i="1"/>
  <c r="G21" i="1"/>
  <c r="H21" i="1" s="1"/>
  <c r="I21" i="1" s="1"/>
  <c r="F21" i="1"/>
  <c r="D21" i="1"/>
  <c r="K20" i="1"/>
  <c r="G20" i="1"/>
  <c r="H20" i="1" s="1"/>
  <c r="I20" i="1" s="1"/>
  <c r="F20" i="1"/>
  <c r="D20" i="1"/>
  <c r="K19" i="1"/>
  <c r="G19" i="1"/>
  <c r="H19" i="1" s="1"/>
  <c r="I19" i="1" s="1"/>
  <c r="F19" i="1"/>
  <c r="D19" i="1"/>
  <c r="K18" i="1"/>
  <c r="G18" i="1"/>
  <c r="H18" i="1" s="1"/>
  <c r="I18" i="1" s="1"/>
  <c r="F18" i="1"/>
  <c r="D18" i="1"/>
  <c r="K17" i="1"/>
  <c r="G17" i="1"/>
  <c r="H17" i="1" s="1"/>
  <c r="I17" i="1" s="1"/>
  <c r="F17" i="1"/>
  <c r="D17" i="1"/>
  <c r="K16" i="1"/>
  <c r="G16" i="1"/>
  <c r="H16" i="1" s="1"/>
  <c r="I16" i="1" s="1"/>
  <c r="F16" i="1"/>
  <c r="D16" i="1"/>
  <c r="K15" i="1"/>
  <c r="G15" i="1"/>
  <c r="H15" i="1" s="1"/>
  <c r="I15" i="1" s="1"/>
  <c r="F15" i="1"/>
  <c r="D15" i="1"/>
  <c r="K14" i="1"/>
  <c r="G14" i="1"/>
  <c r="H14" i="1" s="1"/>
  <c r="I14" i="1" s="1"/>
  <c r="F14" i="1"/>
  <c r="D14" i="1"/>
  <c r="K13" i="1"/>
  <c r="G13" i="1"/>
  <c r="H13" i="1" s="1"/>
  <c r="I13" i="1" s="1"/>
  <c r="F13" i="1"/>
  <c r="D13" i="1"/>
  <c r="K12" i="1"/>
  <c r="G12" i="1"/>
  <c r="H12" i="1" s="1"/>
  <c r="I12" i="1" s="1"/>
  <c r="F12" i="1"/>
  <c r="D12" i="1"/>
  <c r="K11" i="1"/>
  <c r="G11" i="1"/>
  <c r="H11" i="1" s="1"/>
  <c r="I11" i="1" s="1"/>
  <c r="F11" i="1"/>
  <c r="D11" i="1"/>
  <c r="K10" i="1"/>
  <c r="G10" i="1"/>
  <c r="H10" i="1" s="1"/>
  <c r="I10" i="1" s="1"/>
  <c r="F10" i="1"/>
  <c r="D10" i="1"/>
  <c r="K9" i="1"/>
  <c r="G9" i="1"/>
  <c r="H9" i="1" s="1"/>
  <c r="I9" i="1" s="1"/>
  <c r="F9" i="1"/>
  <c r="D9" i="1"/>
  <c r="K8" i="1"/>
  <c r="H8" i="1"/>
  <c r="I8" i="1" s="1"/>
  <c r="F8" i="1"/>
  <c r="D8" i="1"/>
  <c r="K7" i="1"/>
  <c r="G7" i="1"/>
  <c r="H7" i="1" s="1"/>
  <c r="I7" i="1" s="1"/>
  <c r="F7" i="1"/>
  <c r="D7" i="1"/>
  <c r="K6" i="1"/>
  <c r="G6" i="1"/>
  <c r="H6" i="1" s="1"/>
  <c r="I6" i="1" s="1"/>
  <c r="F6" i="1"/>
  <c r="D6" i="1"/>
  <c r="K5" i="1"/>
  <c r="G5" i="1"/>
  <c r="H5" i="1" s="1"/>
  <c r="I5" i="1" s="1"/>
  <c r="F5" i="1"/>
  <c r="D5" i="1"/>
  <c r="K4" i="1"/>
  <c r="G4" i="1"/>
  <c r="H4" i="1" s="1"/>
  <c r="I4" i="1" s="1"/>
  <c r="F4" i="1"/>
  <c r="D4" i="1"/>
  <c r="K3" i="1"/>
  <c r="G3" i="1"/>
  <c r="H3" i="1" s="1"/>
  <c r="I3" i="1" s="1"/>
  <c r="F3" i="1"/>
  <c r="D3" i="1"/>
  <c r="K2" i="1"/>
  <c r="G2" i="1"/>
  <c r="H2" i="1" s="1"/>
  <c r="I2" i="1" s="1"/>
  <c r="F2" i="1"/>
  <c r="C2" i="1"/>
  <c r="D2" i="1" s="1"/>
  <c r="R7" i="9"/>
  <c r="R8" i="9"/>
  <c r="R9" i="9"/>
  <c r="R10" i="9"/>
  <c r="R11" i="9"/>
  <c r="R12" i="9"/>
  <c r="R13" i="9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5" i="9"/>
  <c r="R3" i="9"/>
  <c r="R4" i="9"/>
  <c r="R2" i="9"/>
  <c r="K26" i="9"/>
  <c r="K27" i="9"/>
  <c r="K23" i="9"/>
  <c r="K24" i="9"/>
  <c r="K25" i="9"/>
  <c r="K19" i="9"/>
  <c r="K20" i="9"/>
  <c r="K21" i="9"/>
  <c r="K22" i="9"/>
  <c r="K14" i="9"/>
  <c r="K15" i="9"/>
  <c r="K16" i="9"/>
  <c r="K17" i="9"/>
  <c r="K18" i="9"/>
  <c r="K9" i="9"/>
  <c r="K10" i="9"/>
  <c r="K11" i="9"/>
  <c r="K12" i="9"/>
  <c r="K13" i="9"/>
  <c r="K5" i="9"/>
  <c r="K6" i="9"/>
  <c r="K7" i="9"/>
  <c r="K8" i="9"/>
  <c r="K3" i="9"/>
  <c r="K4" i="9"/>
  <c r="K2" i="9"/>
  <c r="F25" i="9"/>
  <c r="F26" i="9"/>
  <c r="F27" i="9"/>
  <c r="F23" i="9"/>
  <c r="F24" i="9"/>
  <c r="F21" i="9"/>
  <c r="F22" i="9"/>
  <c r="F19" i="9"/>
  <c r="F20" i="9"/>
  <c r="F17" i="9"/>
  <c r="F18" i="9"/>
  <c r="F15" i="9"/>
  <c r="F16" i="9"/>
  <c r="F14" i="9"/>
  <c r="F12" i="9"/>
  <c r="F13" i="9"/>
  <c r="F10" i="9"/>
  <c r="F11" i="9"/>
  <c r="F8" i="9"/>
  <c r="F9" i="9"/>
  <c r="F7" i="9"/>
  <c r="F5" i="9"/>
  <c r="F6" i="9"/>
  <c r="F3" i="9"/>
  <c r="F4" i="9"/>
  <c r="F2" i="9"/>
  <c r="L2" i="5" l="1"/>
  <c r="M2" i="5" s="1"/>
  <c r="L20" i="5"/>
  <c r="M20" i="5" s="1"/>
  <c r="L24" i="5"/>
  <c r="M24" i="5" s="1"/>
  <c r="L3" i="5"/>
  <c r="M3" i="5" s="1"/>
  <c r="L4" i="5"/>
  <c r="M4" i="5" s="1"/>
  <c r="L5" i="5"/>
  <c r="M5" i="5" s="1"/>
  <c r="L6" i="5"/>
  <c r="M6" i="5" s="1"/>
  <c r="L7" i="5"/>
  <c r="M7" i="5" s="1"/>
  <c r="L8" i="5"/>
  <c r="M8" i="5" s="1"/>
  <c r="L9" i="5"/>
  <c r="M9" i="5" s="1"/>
  <c r="L13" i="5"/>
  <c r="M13" i="5" s="1"/>
  <c r="L17" i="5"/>
  <c r="M17" i="5" s="1"/>
  <c r="L21" i="5"/>
  <c r="M21" i="5" s="1"/>
  <c r="L25" i="5"/>
  <c r="M25" i="5" s="1"/>
  <c r="L12" i="5"/>
  <c r="M12" i="5" s="1"/>
  <c r="L16" i="5"/>
  <c r="M16" i="5" s="1"/>
  <c r="L22" i="5"/>
  <c r="M22" i="5" s="1"/>
  <c r="L26" i="5"/>
  <c r="M26" i="5" s="1"/>
  <c r="L10" i="5"/>
  <c r="M10" i="5" s="1"/>
  <c r="L14" i="5"/>
  <c r="M14" i="5" s="1"/>
  <c r="L18" i="5"/>
  <c r="M18" i="5" s="1"/>
  <c r="L11" i="5"/>
  <c r="M11" i="5" s="1"/>
  <c r="L15" i="5"/>
  <c r="M15" i="5" s="1"/>
  <c r="L19" i="5"/>
  <c r="M19" i="5" s="1"/>
  <c r="L23" i="5"/>
  <c r="M23" i="5" s="1"/>
  <c r="L27" i="5"/>
  <c r="M27" i="5" s="1"/>
  <c r="L9" i="4"/>
  <c r="M9" i="4" s="1"/>
  <c r="L10" i="4"/>
  <c r="M10" i="4" s="1"/>
  <c r="L11" i="4"/>
  <c r="M11" i="4" s="1"/>
  <c r="L12" i="4"/>
  <c r="M12" i="4" s="1"/>
  <c r="L13" i="4"/>
  <c r="M13" i="4" s="1"/>
  <c r="L14" i="4"/>
  <c r="M14" i="4" s="1"/>
  <c r="L15" i="4"/>
  <c r="M15" i="4" s="1"/>
  <c r="L16" i="4"/>
  <c r="M16" i="4" s="1"/>
  <c r="L17" i="4"/>
  <c r="M17" i="4" s="1"/>
  <c r="L18" i="4"/>
  <c r="M18" i="4" s="1"/>
  <c r="L19" i="4"/>
  <c r="M19" i="4" s="1"/>
  <c r="L20" i="4"/>
  <c r="M20" i="4" s="1"/>
  <c r="L21" i="4"/>
  <c r="M21" i="4" s="1"/>
  <c r="L22" i="4"/>
  <c r="M22" i="4" s="1"/>
  <c r="L23" i="4"/>
  <c r="M23" i="4" s="1"/>
  <c r="L24" i="4"/>
  <c r="M24" i="4" s="1"/>
  <c r="L25" i="4"/>
  <c r="M25" i="4" s="1"/>
  <c r="L26" i="4"/>
  <c r="M26" i="4" s="1"/>
  <c r="L27" i="4"/>
  <c r="M27" i="4" s="1"/>
  <c r="L5" i="4"/>
  <c r="M5" i="4" s="1"/>
  <c r="L3" i="4"/>
  <c r="M3" i="4" s="1"/>
  <c r="L7" i="4"/>
  <c r="M7" i="4" s="1"/>
  <c r="L8" i="4"/>
  <c r="M8" i="4" s="1"/>
  <c r="L2" i="4"/>
  <c r="M2" i="4" s="1"/>
  <c r="L6" i="4"/>
  <c r="M6" i="4" s="1"/>
  <c r="L4" i="4"/>
  <c r="M4" i="4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" i="1"/>
  <c r="M2" i="1" s="1"/>
  <c r="L4" i="1"/>
  <c r="M4" i="1" s="1"/>
  <c r="L3" i="1"/>
  <c r="M3" i="1" s="1"/>
  <c r="L5" i="1"/>
  <c r="M5" i="1" s="1"/>
  <c r="L8" i="1"/>
  <c r="M8" i="1" s="1"/>
  <c r="L7" i="1"/>
  <c r="M7" i="1" s="1"/>
  <c r="L6" i="1"/>
  <c r="M6" i="1" s="1"/>
  <c r="D25" i="9" l="1"/>
  <c r="D26" i="9"/>
  <c r="D27" i="9"/>
  <c r="D23" i="9"/>
  <c r="D24" i="9"/>
  <c r="D20" i="9"/>
  <c r="D21" i="9"/>
  <c r="D22" i="9"/>
  <c r="D19" i="9"/>
  <c r="D18" i="9"/>
  <c r="D17" i="9"/>
  <c r="D15" i="9"/>
  <c r="D16" i="9"/>
  <c r="D13" i="9"/>
  <c r="D14" i="9"/>
  <c r="D10" i="9"/>
  <c r="D11" i="9"/>
  <c r="D12" i="9"/>
  <c r="D8" i="9"/>
  <c r="L8" i="9" s="1"/>
  <c r="M8" i="9" s="1"/>
  <c r="O8" i="9" s="1"/>
  <c r="P8" i="9" s="1"/>
  <c r="D9" i="9"/>
  <c r="D7" i="9"/>
  <c r="D6" i="9"/>
  <c r="D5" i="9"/>
  <c r="D4" i="9"/>
  <c r="D3" i="9"/>
  <c r="T3" i="6"/>
  <c r="T4" i="6"/>
  <c r="T5" i="6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" i="6"/>
  <c r="T4" i="3"/>
  <c r="T5" i="3"/>
  <c r="T7" i="3"/>
  <c r="T8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7" i="3"/>
  <c r="H27" i="6"/>
  <c r="I27" i="6" s="1"/>
  <c r="J26" i="6"/>
  <c r="K26" i="6" s="1"/>
  <c r="H26" i="6"/>
  <c r="I26" i="6" s="1"/>
  <c r="J25" i="6"/>
  <c r="K25" i="6" s="1"/>
  <c r="H25" i="6"/>
  <c r="I25" i="6" s="1"/>
  <c r="J24" i="6"/>
  <c r="K24" i="6" s="1"/>
  <c r="H24" i="6"/>
  <c r="I24" i="6" s="1"/>
  <c r="J23" i="6"/>
  <c r="K23" i="6" s="1"/>
  <c r="J22" i="6"/>
  <c r="K22" i="6" s="1"/>
  <c r="H22" i="6"/>
  <c r="I22" i="6" s="1"/>
  <c r="J21" i="6"/>
  <c r="K21" i="6" s="1"/>
  <c r="H21" i="6"/>
  <c r="I21" i="6" s="1"/>
  <c r="H20" i="6"/>
  <c r="I20" i="6" s="1"/>
  <c r="H19" i="6"/>
  <c r="I19" i="6" s="1"/>
  <c r="H18" i="6"/>
  <c r="I18" i="6" s="1"/>
  <c r="J17" i="6"/>
  <c r="K17" i="6" s="1"/>
  <c r="H17" i="6"/>
  <c r="I17" i="6" s="1"/>
  <c r="J16" i="6"/>
  <c r="K16" i="6" s="1"/>
  <c r="H16" i="6"/>
  <c r="I16" i="6" s="1"/>
  <c r="J15" i="6"/>
  <c r="K15" i="6" s="1"/>
  <c r="J14" i="6"/>
  <c r="K14" i="6" s="1"/>
  <c r="H14" i="6"/>
  <c r="I14" i="6" s="1"/>
  <c r="J13" i="6"/>
  <c r="K13" i="6" s="1"/>
  <c r="H13" i="6"/>
  <c r="I13" i="6" s="1"/>
  <c r="H12" i="6"/>
  <c r="I12" i="6" s="1"/>
  <c r="J10" i="6"/>
  <c r="K10" i="6" s="1"/>
  <c r="H10" i="6"/>
  <c r="I10" i="6" s="1"/>
  <c r="H9" i="6"/>
  <c r="I9" i="6" s="1"/>
  <c r="L8" i="6"/>
  <c r="M8" i="6" s="1"/>
  <c r="J8" i="6"/>
  <c r="K8" i="6" s="1"/>
  <c r="H8" i="6"/>
  <c r="I8" i="6" s="1"/>
  <c r="J7" i="6"/>
  <c r="K7" i="6" s="1"/>
  <c r="H7" i="6"/>
  <c r="I7" i="6" s="1"/>
  <c r="J6" i="6"/>
  <c r="K6" i="6" s="1"/>
  <c r="H5" i="6"/>
  <c r="I5" i="6" s="1"/>
  <c r="J3" i="6"/>
  <c r="K3" i="6" s="1"/>
  <c r="H3" i="6"/>
  <c r="I3" i="6" s="1"/>
  <c r="J2" i="6"/>
  <c r="K2" i="6" s="1"/>
  <c r="G27" i="6"/>
  <c r="F27" i="6"/>
  <c r="J27" i="6" s="1"/>
  <c r="K27" i="6" s="1"/>
  <c r="E27" i="6"/>
  <c r="G26" i="6"/>
  <c r="E26" i="6"/>
  <c r="G25" i="6"/>
  <c r="E25" i="6"/>
  <c r="G24" i="6"/>
  <c r="E24" i="6"/>
  <c r="G23" i="6"/>
  <c r="E23" i="6"/>
  <c r="D23" i="6"/>
  <c r="H23" i="6" s="1"/>
  <c r="I23" i="6" s="1"/>
  <c r="G22" i="6"/>
  <c r="E22" i="6"/>
  <c r="G21" i="6"/>
  <c r="E21" i="6"/>
  <c r="L21" i="6" s="1"/>
  <c r="M21" i="6" s="1"/>
  <c r="G20" i="6"/>
  <c r="L20" i="6" s="1"/>
  <c r="M20" i="6" s="1"/>
  <c r="F20" i="6"/>
  <c r="J20" i="6" s="1"/>
  <c r="K20" i="6" s="1"/>
  <c r="E20" i="6"/>
  <c r="G19" i="6"/>
  <c r="E19" i="6"/>
  <c r="F19" i="6" s="1"/>
  <c r="J19" i="6" s="1"/>
  <c r="K19" i="6" s="1"/>
  <c r="G18" i="6"/>
  <c r="E18" i="6"/>
  <c r="F18" i="6" s="1"/>
  <c r="J18" i="6" s="1"/>
  <c r="K18" i="6" s="1"/>
  <c r="G17" i="6"/>
  <c r="E17" i="6"/>
  <c r="L17" i="6" s="1"/>
  <c r="M17" i="6" s="1"/>
  <c r="G16" i="6"/>
  <c r="E16" i="6"/>
  <c r="G15" i="6"/>
  <c r="E15" i="6"/>
  <c r="L15" i="6" s="1"/>
  <c r="M15" i="6" s="1"/>
  <c r="D15" i="6"/>
  <c r="H15" i="6" s="1"/>
  <c r="I15" i="6" s="1"/>
  <c r="G14" i="6"/>
  <c r="E14" i="6"/>
  <c r="G13" i="6"/>
  <c r="E13" i="6"/>
  <c r="G12" i="6"/>
  <c r="E12" i="6"/>
  <c r="L12" i="6" s="1"/>
  <c r="M12" i="6" s="1"/>
  <c r="G11" i="6"/>
  <c r="E11" i="6"/>
  <c r="F11" i="6" s="1"/>
  <c r="J11" i="6" s="1"/>
  <c r="K11" i="6" s="1"/>
  <c r="D11" i="6"/>
  <c r="H11" i="6" s="1"/>
  <c r="I11" i="6" s="1"/>
  <c r="E10" i="6"/>
  <c r="L10" i="6" s="1"/>
  <c r="M10" i="6" s="1"/>
  <c r="G9" i="6"/>
  <c r="F9" i="6"/>
  <c r="J9" i="6" s="1"/>
  <c r="K9" i="6" s="1"/>
  <c r="E9" i="6"/>
  <c r="G7" i="6"/>
  <c r="E7" i="6"/>
  <c r="L7" i="6" s="1"/>
  <c r="M7" i="6" s="1"/>
  <c r="G6" i="6"/>
  <c r="L6" i="6" s="1"/>
  <c r="M6" i="6" s="1"/>
  <c r="E6" i="6"/>
  <c r="D6" i="6"/>
  <c r="H6" i="6" s="1"/>
  <c r="I6" i="6" s="1"/>
  <c r="G5" i="6"/>
  <c r="F5" i="6"/>
  <c r="J5" i="6" s="1"/>
  <c r="K5" i="6" s="1"/>
  <c r="E5" i="6"/>
  <c r="G4" i="6"/>
  <c r="E4" i="6"/>
  <c r="D4" i="6"/>
  <c r="H4" i="6" s="1"/>
  <c r="I4" i="6" s="1"/>
  <c r="G3" i="6"/>
  <c r="E3" i="6"/>
  <c r="L3" i="6" s="1"/>
  <c r="M3" i="6" s="1"/>
  <c r="G2" i="6"/>
  <c r="E2" i="6"/>
  <c r="D2" i="6"/>
  <c r="H2" i="6" s="1"/>
  <c r="I2" i="6" s="1"/>
  <c r="T2" i="3"/>
  <c r="H27" i="3"/>
  <c r="I27" i="3" s="1"/>
  <c r="G27" i="3"/>
  <c r="E27" i="3"/>
  <c r="F27" i="3" s="1"/>
  <c r="J27" i="3" s="1"/>
  <c r="K27" i="3" s="1"/>
  <c r="J26" i="3"/>
  <c r="K26" i="3" s="1"/>
  <c r="H26" i="3"/>
  <c r="I26" i="3" s="1"/>
  <c r="G26" i="3"/>
  <c r="E26" i="3"/>
  <c r="L26" i="3" s="1"/>
  <c r="M26" i="3" s="1"/>
  <c r="J25" i="3"/>
  <c r="K25" i="3" s="1"/>
  <c r="H25" i="3"/>
  <c r="I25" i="3" s="1"/>
  <c r="G25" i="3"/>
  <c r="E25" i="3"/>
  <c r="J24" i="3"/>
  <c r="K24" i="3" s="1"/>
  <c r="H24" i="3"/>
  <c r="I24" i="3" s="1"/>
  <c r="G24" i="3"/>
  <c r="E24" i="3"/>
  <c r="L24" i="3" s="1"/>
  <c r="M24" i="3" s="1"/>
  <c r="J23" i="3"/>
  <c r="K23" i="3" s="1"/>
  <c r="G23" i="3"/>
  <c r="E23" i="3"/>
  <c r="D23" i="3"/>
  <c r="H23" i="3" s="1"/>
  <c r="I23" i="3" s="1"/>
  <c r="J22" i="3"/>
  <c r="K22" i="3" s="1"/>
  <c r="H22" i="3"/>
  <c r="I22" i="3" s="1"/>
  <c r="G22" i="3"/>
  <c r="E22" i="3"/>
  <c r="J21" i="3"/>
  <c r="K21" i="3" s="1"/>
  <c r="H21" i="3"/>
  <c r="I21" i="3" s="1"/>
  <c r="G21" i="3"/>
  <c r="E21" i="3"/>
  <c r="H20" i="3"/>
  <c r="I20" i="3" s="1"/>
  <c r="G20" i="3"/>
  <c r="E20" i="3"/>
  <c r="F20" i="3" s="1"/>
  <c r="J20" i="3" s="1"/>
  <c r="K20" i="3" s="1"/>
  <c r="H19" i="3"/>
  <c r="I19" i="3" s="1"/>
  <c r="G19" i="3"/>
  <c r="E19" i="3"/>
  <c r="F19" i="3" s="1"/>
  <c r="J19" i="3" s="1"/>
  <c r="K19" i="3" s="1"/>
  <c r="H18" i="3"/>
  <c r="I18" i="3" s="1"/>
  <c r="G18" i="3"/>
  <c r="E18" i="3"/>
  <c r="F18" i="3" s="1"/>
  <c r="J18" i="3" s="1"/>
  <c r="K18" i="3" s="1"/>
  <c r="J17" i="3"/>
  <c r="K17" i="3" s="1"/>
  <c r="H17" i="3"/>
  <c r="I17" i="3" s="1"/>
  <c r="G17" i="3"/>
  <c r="E17" i="3"/>
  <c r="J16" i="3"/>
  <c r="K16" i="3" s="1"/>
  <c r="H16" i="3"/>
  <c r="I16" i="3" s="1"/>
  <c r="G16" i="3"/>
  <c r="E16" i="3"/>
  <c r="L16" i="3" s="1"/>
  <c r="M16" i="3" s="1"/>
  <c r="J15" i="3"/>
  <c r="K15" i="3" s="1"/>
  <c r="G15" i="3"/>
  <c r="E15" i="3"/>
  <c r="D15" i="3"/>
  <c r="H15" i="3" s="1"/>
  <c r="I15" i="3" s="1"/>
  <c r="J14" i="3"/>
  <c r="K14" i="3" s="1"/>
  <c r="H14" i="3"/>
  <c r="I14" i="3" s="1"/>
  <c r="G14" i="3"/>
  <c r="E14" i="3"/>
  <c r="J13" i="3"/>
  <c r="K13" i="3" s="1"/>
  <c r="H13" i="3"/>
  <c r="I13" i="3" s="1"/>
  <c r="G13" i="3"/>
  <c r="E13" i="3"/>
  <c r="H12" i="3"/>
  <c r="I12" i="3" s="1"/>
  <c r="G12" i="3"/>
  <c r="E12" i="3"/>
  <c r="F12" i="3" s="1"/>
  <c r="J12" i="3" s="1"/>
  <c r="K12" i="3" s="1"/>
  <c r="G11" i="3"/>
  <c r="E11" i="3"/>
  <c r="D11" i="3"/>
  <c r="H11" i="3" s="1"/>
  <c r="I11" i="3" s="1"/>
  <c r="J10" i="3"/>
  <c r="K10" i="3" s="1"/>
  <c r="H10" i="3"/>
  <c r="I10" i="3" s="1"/>
  <c r="E10" i="3"/>
  <c r="L10" i="3" s="1"/>
  <c r="M10" i="3" s="1"/>
  <c r="H9" i="3"/>
  <c r="I9" i="3" s="1"/>
  <c r="G9" i="3"/>
  <c r="E9" i="3"/>
  <c r="F9" i="3" s="1"/>
  <c r="J9" i="3" s="1"/>
  <c r="K9" i="3" s="1"/>
  <c r="L8" i="3"/>
  <c r="M8" i="3" s="1"/>
  <c r="J8" i="3"/>
  <c r="K8" i="3" s="1"/>
  <c r="H8" i="3"/>
  <c r="I8" i="3" s="1"/>
  <c r="J7" i="3"/>
  <c r="K7" i="3" s="1"/>
  <c r="H7" i="3"/>
  <c r="I7" i="3" s="1"/>
  <c r="G7" i="3"/>
  <c r="E7" i="3"/>
  <c r="L7" i="3" s="1"/>
  <c r="M7" i="3" s="1"/>
  <c r="J6" i="3"/>
  <c r="K6" i="3" s="1"/>
  <c r="H6" i="3"/>
  <c r="I6" i="3" s="1"/>
  <c r="G6" i="3"/>
  <c r="E6" i="3"/>
  <c r="L6" i="3" s="1"/>
  <c r="M6" i="3" s="1"/>
  <c r="D6" i="3"/>
  <c r="H5" i="3"/>
  <c r="I5" i="3" s="1"/>
  <c r="G5" i="3"/>
  <c r="E5" i="3"/>
  <c r="F5" i="3" s="1"/>
  <c r="J5" i="3" s="1"/>
  <c r="K5" i="3" s="1"/>
  <c r="G4" i="3"/>
  <c r="E4" i="3"/>
  <c r="D4" i="3"/>
  <c r="H4" i="3" s="1"/>
  <c r="I4" i="3" s="1"/>
  <c r="J3" i="3"/>
  <c r="K3" i="3" s="1"/>
  <c r="H3" i="3"/>
  <c r="I3" i="3" s="1"/>
  <c r="G3" i="3"/>
  <c r="E3" i="3"/>
  <c r="L3" i="3" s="1"/>
  <c r="M3" i="3" s="1"/>
  <c r="J2" i="3"/>
  <c r="K2" i="3" s="1"/>
  <c r="H2" i="3"/>
  <c r="I2" i="3" s="1"/>
  <c r="G2" i="3"/>
  <c r="E2" i="3"/>
  <c r="L2" i="3" s="1"/>
  <c r="M2" i="3" s="1"/>
  <c r="D2" i="3"/>
  <c r="T3" i="2"/>
  <c r="T4" i="2"/>
  <c r="T5" i="2"/>
  <c r="T7" i="2"/>
  <c r="T8" i="2"/>
  <c r="T9" i="2"/>
  <c r="T10" i="2"/>
  <c r="T11" i="2"/>
  <c r="T12" i="2"/>
  <c r="T13" i="2"/>
  <c r="T14" i="2"/>
  <c r="T15" i="2"/>
  <c r="T17" i="2"/>
  <c r="T18" i="2"/>
  <c r="T19" i="2"/>
  <c r="T20" i="2"/>
  <c r="T21" i="2"/>
  <c r="T22" i="2"/>
  <c r="T23" i="2"/>
  <c r="T24" i="2"/>
  <c r="T25" i="2"/>
  <c r="T26" i="2"/>
  <c r="T27" i="2"/>
  <c r="T2" i="2"/>
  <c r="O3" i="5"/>
  <c r="P3" i="5" s="1"/>
  <c r="O4" i="5"/>
  <c r="P4" i="5" s="1"/>
  <c r="O5" i="5"/>
  <c r="P5" i="5" s="1"/>
  <c r="O6" i="5"/>
  <c r="P6" i="5" s="1"/>
  <c r="S6" i="5" s="1"/>
  <c r="O7" i="5"/>
  <c r="P7" i="5" s="1"/>
  <c r="O8" i="5"/>
  <c r="P8" i="5" s="1"/>
  <c r="O9" i="5"/>
  <c r="P9" i="5" s="1"/>
  <c r="O10" i="5"/>
  <c r="P10" i="5" s="1"/>
  <c r="O11" i="5"/>
  <c r="P11" i="5" s="1"/>
  <c r="O12" i="5"/>
  <c r="P12" i="5" s="1"/>
  <c r="O13" i="5"/>
  <c r="P13" i="5" s="1"/>
  <c r="O14" i="5"/>
  <c r="P14" i="5" s="1"/>
  <c r="O15" i="5"/>
  <c r="P15" i="5" s="1"/>
  <c r="O16" i="5"/>
  <c r="P16" i="5" s="1"/>
  <c r="O17" i="5"/>
  <c r="P17" i="5" s="1"/>
  <c r="O18" i="5"/>
  <c r="P18" i="5" s="1"/>
  <c r="O19" i="5"/>
  <c r="P19" i="5" s="1"/>
  <c r="O20" i="5"/>
  <c r="P20" i="5" s="1"/>
  <c r="O21" i="5"/>
  <c r="P21" i="5" s="1"/>
  <c r="O22" i="5"/>
  <c r="P22" i="5" s="1"/>
  <c r="O23" i="5"/>
  <c r="P23" i="5" s="1"/>
  <c r="O24" i="5"/>
  <c r="P24" i="5" s="1"/>
  <c r="O25" i="5"/>
  <c r="P25" i="5" s="1"/>
  <c r="O26" i="5"/>
  <c r="P26" i="5" s="1"/>
  <c r="O27" i="5"/>
  <c r="P27" i="5" s="1"/>
  <c r="O3" i="4"/>
  <c r="P3" i="4" s="1"/>
  <c r="T3" i="4" s="1"/>
  <c r="O4" i="4"/>
  <c r="P4" i="4" s="1"/>
  <c r="T4" i="4" s="1"/>
  <c r="O5" i="4"/>
  <c r="P5" i="4" s="1"/>
  <c r="T5" i="4" s="1"/>
  <c r="O6" i="4"/>
  <c r="P6" i="4" s="1"/>
  <c r="T6" i="4" s="1"/>
  <c r="O7" i="4"/>
  <c r="P7" i="4" s="1"/>
  <c r="T7" i="4" s="1"/>
  <c r="O8" i="4"/>
  <c r="P8" i="4" s="1"/>
  <c r="T8" i="4" s="1"/>
  <c r="O9" i="4"/>
  <c r="P9" i="4" s="1"/>
  <c r="T9" i="4" s="1"/>
  <c r="O10" i="4"/>
  <c r="P10" i="4" s="1"/>
  <c r="T10" i="4" s="1"/>
  <c r="O11" i="4"/>
  <c r="P11" i="4" s="1"/>
  <c r="T11" i="4" s="1"/>
  <c r="O12" i="4"/>
  <c r="P12" i="4" s="1"/>
  <c r="T12" i="4" s="1"/>
  <c r="O13" i="4"/>
  <c r="P13" i="4" s="1"/>
  <c r="T13" i="4" s="1"/>
  <c r="O14" i="4"/>
  <c r="P14" i="4" s="1"/>
  <c r="T14" i="4" s="1"/>
  <c r="O15" i="4"/>
  <c r="P15" i="4" s="1"/>
  <c r="T15" i="4" s="1"/>
  <c r="O16" i="4"/>
  <c r="P16" i="4" s="1"/>
  <c r="T16" i="4" s="1"/>
  <c r="O17" i="4"/>
  <c r="P17" i="4" s="1"/>
  <c r="T17" i="4" s="1"/>
  <c r="O18" i="4"/>
  <c r="P18" i="4" s="1"/>
  <c r="T18" i="4" s="1"/>
  <c r="O19" i="4"/>
  <c r="P19" i="4" s="1"/>
  <c r="T19" i="4" s="1"/>
  <c r="O20" i="4"/>
  <c r="P20" i="4" s="1"/>
  <c r="T20" i="4" s="1"/>
  <c r="O21" i="4"/>
  <c r="P21" i="4" s="1"/>
  <c r="T21" i="4" s="1"/>
  <c r="O22" i="4"/>
  <c r="P22" i="4" s="1"/>
  <c r="T22" i="4" s="1"/>
  <c r="O23" i="4"/>
  <c r="P23" i="4" s="1"/>
  <c r="T23" i="4" s="1"/>
  <c r="O24" i="4"/>
  <c r="P24" i="4" s="1"/>
  <c r="T24" i="4" s="1"/>
  <c r="O25" i="4"/>
  <c r="P25" i="4" s="1"/>
  <c r="T25" i="4" s="1"/>
  <c r="O26" i="4"/>
  <c r="P26" i="4" s="1"/>
  <c r="T26" i="4" s="1"/>
  <c r="O27" i="4"/>
  <c r="P27" i="4" s="1"/>
  <c r="T27" i="4" s="1"/>
  <c r="O3" i="1"/>
  <c r="P3" i="1" s="1"/>
  <c r="O4" i="1"/>
  <c r="P4" i="1" s="1"/>
  <c r="O5" i="1"/>
  <c r="P5" i="1" s="1"/>
  <c r="O6" i="1"/>
  <c r="P6" i="1" s="1"/>
  <c r="T6" i="1" s="1"/>
  <c r="O7" i="1"/>
  <c r="P7" i="1" s="1"/>
  <c r="O8" i="1"/>
  <c r="P8" i="1" s="1"/>
  <c r="O9" i="1"/>
  <c r="P9" i="1" s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L3" i="9"/>
  <c r="M3" i="9" s="1"/>
  <c r="O3" i="9" s="1"/>
  <c r="P3" i="9" s="1"/>
  <c r="H8" i="9"/>
  <c r="I8" i="9" s="1"/>
  <c r="G27" i="9"/>
  <c r="H27" i="9" s="1"/>
  <c r="I27" i="9" s="1"/>
  <c r="G26" i="9"/>
  <c r="H26" i="9" s="1"/>
  <c r="I26" i="9" s="1"/>
  <c r="G25" i="9"/>
  <c r="H25" i="9" s="1"/>
  <c r="I25" i="9" s="1"/>
  <c r="L25" i="9" s="1"/>
  <c r="M25" i="9" s="1"/>
  <c r="O25" i="9" s="1"/>
  <c r="P25" i="9" s="1"/>
  <c r="G24" i="9"/>
  <c r="H24" i="9" s="1"/>
  <c r="I24" i="9" s="1"/>
  <c r="L24" i="9" s="1"/>
  <c r="M24" i="9" s="1"/>
  <c r="O24" i="9" s="1"/>
  <c r="P24" i="9" s="1"/>
  <c r="G23" i="9"/>
  <c r="H23" i="9" s="1"/>
  <c r="I23" i="9" s="1"/>
  <c r="G22" i="9"/>
  <c r="H22" i="9" s="1"/>
  <c r="I22" i="9" s="1"/>
  <c r="G21" i="9"/>
  <c r="H21" i="9" s="1"/>
  <c r="I21" i="9" s="1"/>
  <c r="G20" i="9"/>
  <c r="H20" i="9" s="1"/>
  <c r="I20" i="9" s="1"/>
  <c r="L20" i="9" s="1"/>
  <c r="M20" i="9" s="1"/>
  <c r="O20" i="9" s="1"/>
  <c r="P20" i="9" s="1"/>
  <c r="G19" i="9"/>
  <c r="H19" i="9" s="1"/>
  <c r="I19" i="9" s="1"/>
  <c r="L19" i="9" s="1"/>
  <c r="M19" i="9" s="1"/>
  <c r="O19" i="9" s="1"/>
  <c r="P19" i="9" s="1"/>
  <c r="G18" i="9"/>
  <c r="H18" i="9" s="1"/>
  <c r="I18" i="9" s="1"/>
  <c r="G17" i="9"/>
  <c r="H17" i="9" s="1"/>
  <c r="I17" i="9" s="1"/>
  <c r="G16" i="9"/>
  <c r="H16" i="9" s="1"/>
  <c r="I16" i="9" s="1"/>
  <c r="L16" i="9" s="1"/>
  <c r="M16" i="9" s="1"/>
  <c r="O16" i="9" s="1"/>
  <c r="P16" i="9" s="1"/>
  <c r="G15" i="9"/>
  <c r="H15" i="9" s="1"/>
  <c r="I15" i="9" s="1"/>
  <c r="G14" i="9"/>
  <c r="H14" i="9" s="1"/>
  <c r="I14" i="9" s="1"/>
  <c r="G13" i="9"/>
  <c r="H13" i="9" s="1"/>
  <c r="I13" i="9" s="1"/>
  <c r="G12" i="9"/>
  <c r="H12" i="9" s="1"/>
  <c r="I12" i="9" s="1"/>
  <c r="G11" i="9"/>
  <c r="H11" i="9" s="1"/>
  <c r="I11" i="9" s="1"/>
  <c r="L11" i="9" s="1"/>
  <c r="M11" i="9" s="1"/>
  <c r="O11" i="9" s="1"/>
  <c r="P11" i="9" s="1"/>
  <c r="G10" i="9"/>
  <c r="H10" i="9" s="1"/>
  <c r="I10" i="9" s="1"/>
  <c r="G9" i="9"/>
  <c r="G7" i="9"/>
  <c r="H7" i="9" s="1"/>
  <c r="I7" i="9" s="1"/>
  <c r="L7" i="9" s="1"/>
  <c r="M7" i="9" s="1"/>
  <c r="O7" i="9" s="1"/>
  <c r="P7" i="9" s="1"/>
  <c r="G6" i="9"/>
  <c r="H6" i="9" s="1"/>
  <c r="I6" i="9" s="1"/>
  <c r="G5" i="9"/>
  <c r="H5" i="9" s="1"/>
  <c r="I5" i="9" s="1"/>
  <c r="G4" i="9"/>
  <c r="H4" i="9" s="1"/>
  <c r="I4" i="9" s="1"/>
  <c r="L4" i="9" s="1"/>
  <c r="M4" i="9" s="1"/>
  <c r="O4" i="9" s="1"/>
  <c r="P4" i="9" s="1"/>
  <c r="G3" i="9"/>
  <c r="H3" i="9" s="1"/>
  <c r="I3" i="9" s="1"/>
  <c r="G2" i="9"/>
  <c r="H2" i="9" s="1"/>
  <c r="I2" i="9" s="1"/>
  <c r="C2" i="9"/>
  <c r="D2" i="9" s="1"/>
  <c r="L10" i="9" l="1"/>
  <c r="M10" i="9" s="1"/>
  <c r="O10" i="9" s="1"/>
  <c r="P10" i="9" s="1"/>
  <c r="L22" i="9"/>
  <c r="M22" i="9" s="1"/>
  <c r="O22" i="9" s="1"/>
  <c r="P22" i="9" s="1"/>
  <c r="L15" i="9"/>
  <c r="M15" i="9" s="1"/>
  <c r="O15" i="9" s="1"/>
  <c r="P15" i="9" s="1"/>
  <c r="L23" i="9"/>
  <c r="M23" i="9" s="1"/>
  <c r="O23" i="9" s="1"/>
  <c r="P23" i="9" s="1"/>
  <c r="S23" i="9" s="1"/>
  <c r="T23" i="9" s="1"/>
  <c r="L12" i="9"/>
  <c r="M12" i="9" s="1"/>
  <c r="O12" i="9" s="1"/>
  <c r="P12" i="9" s="1"/>
  <c r="L5" i="9"/>
  <c r="M5" i="9" s="1"/>
  <c r="O5" i="9" s="1"/>
  <c r="P5" i="9" s="1"/>
  <c r="L14" i="9"/>
  <c r="M14" i="9" s="1"/>
  <c r="O14" i="9" s="1"/>
  <c r="P14" i="9" s="1"/>
  <c r="L4" i="6"/>
  <c r="M4" i="6" s="1"/>
  <c r="L24" i="6"/>
  <c r="M24" i="6" s="1"/>
  <c r="L26" i="6"/>
  <c r="M26" i="6" s="1"/>
  <c r="L5" i="6"/>
  <c r="M5" i="6" s="1"/>
  <c r="N5" i="6" s="1"/>
  <c r="O5" i="6" s="1"/>
  <c r="Q5" i="6" s="1"/>
  <c r="R5" i="6" s="1"/>
  <c r="L9" i="6"/>
  <c r="M9" i="6" s="1"/>
  <c r="L14" i="6"/>
  <c r="M14" i="6" s="1"/>
  <c r="L16" i="6"/>
  <c r="M16" i="6" s="1"/>
  <c r="L23" i="6"/>
  <c r="M23" i="6" s="1"/>
  <c r="N23" i="6" s="1"/>
  <c r="O23" i="6" s="1"/>
  <c r="Q23" i="6" s="1"/>
  <c r="R23" i="6" s="1"/>
  <c r="L25" i="6"/>
  <c r="M25" i="6" s="1"/>
  <c r="L27" i="6"/>
  <c r="M27" i="6" s="1"/>
  <c r="L2" i="6"/>
  <c r="M2" i="6" s="1"/>
  <c r="L13" i="6"/>
  <c r="M13" i="6" s="1"/>
  <c r="N13" i="6" s="1"/>
  <c r="O13" i="6" s="1"/>
  <c r="Q13" i="6" s="1"/>
  <c r="R13" i="6" s="1"/>
  <c r="L22" i="6"/>
  <c r="M22" i="6" s="1"/>
  <c r="L18" i="3"/>
  <c r="M18" i="3" s="1"/>
  <c r="F4" i="3"/>
  <c r="J4" i="3" s="1"/>
  <c r="K4" i="3" s="1"/>
  <c r="L4" i="3"/>
  <c r="M4" i="3" s="1"/>
  <c r="N4" i="3" s="1"/>
  <c r="O4" i="3" s="1"/>
  <c r="Q4" i="3" s="1"/>
  <c r="R4" i="3" s="1"/>
  <c r="L11" i="3"/>
  <c r="M11" i="3" s="1"/>
  <c r="S27" i="5"/>
  <c r="T27" i="5" s="1"/>
  <c r="S23" i="5"/>
  <c r="T23" i="5" s="1"/>
  <c r="S19" i="5"/>
  <c r="T19" i="5" s="1"/>
  <c r="S15" i="5"/>
  <c r="T15" i="5" s="1"/>
  <c r="S11" i="5"/>
  <c r="T11" i="5" s="1"/>
  <c r="S7" i="5"/>
  <c r="T7" i="5" s="1"/>
  <c r="S3" i="5"/>
  <c r="T3" i="5" s="1"/>
  <c r="S26" i="5"/>
  <c r="T26" i="5" s="1"/>
  <c r="S22" i="5"/>
  <c r="T22" i="5" s="1"/>
  <c r="S18" i="5"/>
  <c r="T18" i="5" s="1"/>
  <c r="S14" i="5"/>
  <c r="T14" i="5" s="1"/>
  <c r="S10" i="5"/>
  <c r="T10" i="5" s="1"/>
  <c r="S25" i="5"/>
  <c r="T25" i="5" s="1"/>
  <c r="S21" i="5"/>
  <c r="T21" i="5" s="1"/>
  <c r="S17" i="5"/>
  <c r="T17" i="5" s="1"/>
  <c r="S13" i="5"/>
  <c r="T13" i="5" s="1"/>
  <c r="S9" i="5"/>
  <c r="T9" i="5" s="1"/>
  <c r="S5" i="5"/>
  <c r="T5" i="5" s="1"/>
  <c r="S24" i="5"/>
  <c r="T24" i="5" s="1"/>
  <c r="S20" i="5"/>
  <c r="T20" i="5" s="1"/>
  <c r="T16" i="5"/>
  <c r="S16" i="5"/>
  <c r="S12" i="5"/>
  <c r="T12" i="5" s="1"/>
  <c r="S8" i="5"/>
  <c r="T8" i="5" s="1"/>
  <c r="S4" i="5"/>
  <c r="T4" i="5" s="1"/>
  <c r="S26" i="1"/>
  <c r="T26" i="1" s="1"/>
  <c r="S25" i="1"/>
  <c r="T25" i="1" s="1"/>
  <c r="S21" i="1"/>
  <c r="T21" i="1" s="1"/>
  <c r="S17" i="1"/>
  <c r="T17" i="1" s="1"/>
  <c r="S13" i="1"/>
  <c r="T13" i="1" s="1"/>
  <c r="S9" i="1"/>
  <c r="T9" i="1" s="1"/>
  <c r="S5" i="1"/>
  <c r="T5" i="1" s="1"/>
  <c r="S22" i="1"/>
  <c r="T22" i="1" s="1"/>
  <c r="S14" i="1"/>
  <c r="T14" i="1" s="1"/>
  <c r="S24" i="1"/>
  <c r="T24" i="1" s="1"/>
  <c r="S20" i="1"/>
  <c r="T20" i="1" s="1"/>
  <c r="S16" i="1"/>
  <c r="T16" i="1" s="1"/>
  <c r="S12" i="1"/>
  <c r="T12" i="1" s="1"/>
  <c r="S8" i="1"/>
  <c r="T8" i="1" s="1"/>
  <c r="S4" i="1"/>
  <c r="T4" i="1" s="1"/>
  <c r="S18" i="1"/>
  <c r="T18" i="1" s="1"/>
  <c r="S10" i="1"/>
  <c r="T10" i="1" s="1"/>
  <c r="S27" i="1"/>
  <c r="T27" i="1" s="1"/>
  <c r="S23" i="1"/>
  <c r="T23" i="1" s="1"/>
  <c r="S19" i="1"/>
  <c r="T19" i="1" s="1"/>
  <c r="S15" i="1"/>
  <c r="T15" i="1" s="1"/>
  <c r="S11" i="1"/>
  <c r="T11" i="1" s="1"/>
  <c r="S7" i="1"/>
  <c r="T7" i="1" s="1"/>
  <c r="S3" i="1"/>
  <c r="T3" i="1" s="1"/>
  <c r="L27" i="9"/>
  <c r="M27" i="9" s="1"/>
  <c r="O27" i="9" s="1"/>
  <c r="P27" i="9" s="1"/>
  <c r="S27" i="9" s="1"/>
  <c r="T27" i="9" s="1"/>
  <c r="S7" i="9"/>
  <c r="T7" i="9" s="1"/>
  <c r="S24" i="9"/>
  <c r="T24" i="9" s="1"/>
  <c r="S8" i="9"/>
  <c r="T8" i="9" s="1"/>
  <c r="S20" i="9"/>
  <c r="T20" i="9" s="1"/>
  <c r="S16" i="9"/>
  <c r="T16" i="9" s="1"/>
  <c r="S4" i="9"/>
  <c r="T4" i="9" s="1"/>
  <c r="S3" i="9"/>
  <c r="T3" i="9" s="1"/>
  <c r="S5" i="9"/>
  <c r="T5" i="9" s="1"/>
  <c r="L2" i="9"/>
  <c r="M2" i="9" s="1"/>
  <c r="S10" i="9"/>
  <c r="T10" i="9" s="1"/>
  <c r="S22" i="9"/>
  <c r="T22" i="9" s="1"/>
  <c r="L6" i="9"/>
  <c r="M6" i="9" s="1"/>
  <c r="O6" i="9" s="1"/>
  <c r="P6" i="9" s="1"/>
  <c r="T6" i="9" s="1"/>
  <c r="L13" i="9"/>
  <c r="M13" i="9" s="1"/>
  <c r="O13" i="9" s="1"/>
  <c r="P13" i="9" s="1"/>
  <c r="L18" i="9"/>
  <c r="M18" i="9" s="1"/>
  <c r="O18" i="9" s="1"/>
  <c r="P18" i="9" s="1"/>
  <c r="L26" i="9"/>
  <c r="M26" i="9" s="1"/>
  <c r="O26" i="9" s="1"/>
  <c r="P26" i="9" s="1"/>
  <c r="S25" i="9"/>
  <c r="T25" i="9" s="1"/>
  <c r="L17" i="9"/>
  <c r="M17" i="9" s="1"/>
  <c r="O17" i="9" s="1"/>
  <c r="P17" i="9" s="1"/>
  <c r="S15" i="9"/>
  <c r="T15" i="9" s="1"/>
  <c r="S12" i="9"/>
  <c r="T12" i="9" s="1"/>
  <c r="S14" i="9"/>
  <c r="T14" i="9" s="1"/>
  <c r="L21" i="9"/>
  <c r="M21" i="9" s="1"/>
  <c r="O21" i="9" s="1"/>
  <c r="P21" i="9" s="1"/>
  <c r="S11" i="9"/>
  <c r="T11" i="9" s="1"/>
  <c r="S19" i="9"/>
  <c r="T19" i="9" s="1"/>
  <c r="N8" i="6"/>
  <c r="O8" i="6" s="1"/>
  <c r="N16" i="6"/>
  <c r="O16" i="6" s="1"/>
  <c r="L18" i="6"/>
  <c r="M18" i="6" s="1"/>
  <c r="N20" i="6"/>
  <c r="O20" i="6" s="1"/>
  <c r="Q20" i="6" s="1"/>
  <c r="R20" i="6" s="1"/>
  <c r="F12" i="6"/>
  <c r="J12" i="6" s="1"/>
  <c r="K12" i="6" s="1"/>
  <c r="N12" i="6" s="1"/>
  <c r="O12" i="6" s="1"/>
  <c r="Q12" i="6" s="1"/>
  <c r="R12" i="6" s="1"/>
  <c r="F4" i="6"/>
  <c r="J4" i="6" s="1"/>
  <c r="K4" i="6" s="1"/>
  <c r="N4" i="6" s="1"/>
  <c r="O4" i="6" s="1"/>
  <c r="Q4" i="6" s="1"/>
  <c r="R4" i="6" s="1"/>
  <c r="N9" i="6"/>
  <c r="O9" i="6" s="1"/>
  <c r="Q9" i="6" s="1"/>
  <c r="R9" i="6" s="1"/>
  <c r="L11" i="6"/>
  <c r="M11" i="6" s="1"/>
  <c r="N17" i="6"/>
  <c r="O17" i="6" s="1"/>
  <c r="Q17" i="6" s="1"/>
  <c r="R17" i="6" s="1"/>
  <c r="L19" i="6"/>
  <c r="M19" i="6" s="1"/>
  <c r="N21" i="6"/>
  <c r="O21" i="6" s="1"/>
  <c r="N25" i="6"/>
  <c r="O25" i="6" s="1"/>
  <c r="Q25" i="6" s="1"/>
  <c r="R25" i="6" s="1"/>
  <c r="N24" i="6"/>
  <c r="O24" i="6" s="1"/>
  <c r="N3" i="6"/>
  <c r="O3" i="6" s="1"/>
  <c r="Q3" i="6" s="1"/>
  <c r="R3" i="6" s="1"/>
  <c r="N7" i="6"/>
  <c r="O7" i="6" s="1"/>
  <c r="N11" i="6"/>
  <c r="O11" i="6" s="1"/>
  <c r="Q11" i="6" s="1"/>
  <c r="R11" i="6" s="1"/>
  <c r="N15" i="6"/>
  <c r="O15" i="6" s="1"/>
  <c r="Q15" i="6" s="1"/>
  <c r="R15" i="6" s="1"/>
  <c r="N19" i="6"/>
  <c r="O19" i="6" s="1"/>
  <c r="Q19" i="6" s="1"/>
  <c r="R19" i="6" s="1"/>
  <c r="N27" i="6"/>
  <c r="O27" i="6" s="1"/>
  <c r="Q27" i="6" s="1"/>
  <c r="R27" i="6" s="1"/>
  <c r="N2" i="6"/>
  <c r="O2" i="6" s="1"/>
  <c r="N6" i="6"/>
  <c r="O6" i="6" s="1"/>
  <c r="Q6" i="6" s="1"/>
  <c r="R6" i="6" s="1"/>
  <c r="N10" i="6"/>
  <c r="O10" i="6" s="1"/>
  <c r="Q10" i="6" s="1"/>
  <c r="R10" i="6" s="1"/>
  <c r="N14" i="6"/>
  <c r="O14" i="6" s="1"/>
  <c r="Q14" i="6" s="1"/>
  <c r="R14" i="6" s="1"/>
  <c r="N18" i="6"/>
  <c r="O18" i="6" s="1"/>
  <c r="Q18" i="6" s="1"/>
  <c r="R18" i="6" s="1"/>
  <c r="N22" i="6"/>
  <c r="O22" i="6" s="1"/>
  <c r="N26" i="6"/>
  <c r="O26" i="6" s="1"/>
  <c r="Q26" i="6" s="1"/>
  <c r="R26" i="6" s="1"/>
  <c r="L15" i="3"/>
  <c r="M15" i="3" s="1"/>
  <c r="L17" i="3"/>
  <c r="M17" i="3" s="1"/>
  <c r="N17" i="3" s="1"/>
  <c r="O17" i="3" s="1"/>
  <c r="Q17" i="3" s="1"/>
  <c r="R17" i="3" s="1"/>
  <c r="L21" i="3"/>
  <c r="M21" i="3" s="1"/>
  <c r="N21" i="3" s="1"/>
  <c r="O21" i="3" s="1"/>
  <c r="Q21" i="3" s="1"/>
  <c r="R21" i="3" s="1"/>
  <c r="L22" i="3"/>
  <c r="M22" i="3" s="1"/>
  <c r="N22" i="3" s="1"/>
  <c r="O22" i="3" s="1"/>
  <c r="Q22" i="3" s="1"/>
  <c r="R22" i="3" s="1"/>
  <c r="N26" i="3"/>
  <c r="O26" i="3" s="1"/>
  <c r="N2" i="3"/>
  <c r="O2" i="3" s="1"/>
  <c r="N3" i="3"/>
  <c r="O3" i="3" s="1"/>
  <c r="N16" i="3"/>
  <c r="O16" i="3" s="1"/>
  <c r="Q16" i="3" s="1"/>
  <c r="R16" i="3" s="1"/>
  <c r="F11" i="3"/>
  <c r="J11" i="3" s="1"/>
  <c r="K11" i="3" s="1"/>
  <c r="L13" i="3"/>
  <c r="M13" i="3" s="1"/>
  <c r="N13" i="3" s="1"/>
  <c r="O13" i="3" s="1"/>
  <c r="Q13" i="3" s="1"/>
  <c r="R13" i="3" s="1"/>
  <c r="L14" i="3"/>
  <c r="M14" i="3" s="1"/>
  <c r="N14" i="3" s="1"/>
  <c r="O14" i="3" s="1"/>
  <c r="Q14" i="3" s="1"/>
  <c r="R14" i="3" s="1"/>
  <c r="L19" i="3"/>
  <c r="M19" i="3" s="1"/>
  <c r="N19" i="3" s="1"/>
  <c r="O19" i="3" s="1"/>
  <c r="Q19" i="3" s="1"/>
  <c r="R19" i="3" s="1"/>
  <c r="L23" i="3"/>
  <c r="M23" i="3" s="1"/>
  <c r="N23" i="3" s="1"/>
  <c r="O23" i="3" s="1"/>
  <c r="Q23" i="3" s="1"/>
  <c r="R23" i="3" s="1"/>
  <c r="L25" i="3"/>
  <c r="M25" i="3" s="1"/>
  <c r="N25" i="3" s="1"/>
  <c r="O25" i="3" s="1"/>
  <c r="Q25" i="3" s="1"/>
  <c r="R25" i="3" s="1"/>
  <c r="N6" i="3"/>
  <c r="O6" i="3" s="1"/>
  <c r="Q6" i="3" s="1"/>
  <c r="R6" i="3" s="1"/>
  <c r="V6" i="3" s="1"/>
  <c r="N7" i="3"/>
  <c r="O7" i="3" s="1"/>
  <c r="Q7" i="3" s="1"/>
  <c r="R7" i="3" s="1"/>
  <c r="N15" i="3"/>
  <c r="O15" i="3" s="1"/>
  <c r="Q15" i="3" s="1"/>
  <c r="R15" i="3" s="1"/>
  <c r="N24" i="3"/>
  <c r="O24" i="3" s="1"/>
  <c r="Q24" i="3" s="1"/>
  <c r="R24" i="3" s="1"/>
  <c r="N8" i="3"/>
  <c r="O8" i="3" s="1"/>
  <c r="Q8" i="3" s="1"/>
  <c r="R8" i="3" s="1"/>
  <c r="N10" i="3"/>
  <c r="O10" i="3" s="1"/>
  <c r="Q10" i="3" s="1"/>
  <c r="R10" i="3" s="1"/>
  <c r="N18" i="3"/>
  <c r="O18" i="3" s="1"/>
  <c r="Q18" i="3" s="1"/>
  <c r="R18" i="3" s="1"/>
  <c r="L5" i="3"/>
  <c r="M5" i="3" s="1"/>
  <c r="N5" i="3" s="1"/>
  <c r="O5" i="3" s="1"/>
  <c r="Q5" i="3" s="1"/>
  <c r="R5" i="3" s="1"/>
  <c r="L9" i="3"/>
  <c r="M9" i="3" s="1"/>
  <c r="N9" i="3" s="1"/>
  <c r="O9" i="3" s="1"/>
  <c r="L12" i="3"/>
  <c r="M12" i="3" s="1"/>
  <c r="N12" i="3" s="1"/>
  <c r="O12" i="3" s="1"/>
  <c r="Q12" i="3" s="1"/>
  <c r="R12" i="3" s="1"/>
  <c r="L20" i="3"/>
  <c r="M20" i="3" s="1"/>
  <c r="N20" i="3" s="1"/>
  <c r="O20" i="3" s="1"/>
  <c r="Q20" i="3" s="1"/>
  <c r="R20" i="3" s="1"/>
  <c r="L27" i="3"/>
  <c r="M27" i="3" s="1"/>
  <c r="N27" i="3" s="1"/>
  <c r="O27" i="3" s="1"/>
  <c r="Q27" i="3" s="1"/>
  <c r="R27" i="3" s="1"/>
  <c r="H9" i="9"/>
  <c r="I9" i="9" s="1"/>
  <c r="L9" i="9" s="1"/>
  <c r="M9" i="9" s="1"/>
  <c r="O9" i="9" s="1"/>
  <c r="P9" i="9" s="1"/>
  <c r="Q7" i="6"/>
  <c r="R7" i="6" s="1"/>
  <c r="Q8" i="6"/>
  <c r="R8" i="6" s="1"/>
  <c r="Q16" i="6"/>
  <c r="R16" i="6" s="1"/>
  <c r="Q21" i="6"/>
  <c r="R21" i="6" s="1"/>
  <c r="Q22" i="6"/>
  <c r="R22" i="6" s="1"/>
  <c r="Q24" i="6"/>
  <c r="R24" i="6" s="1"/>
  <c r="G27" i="2"/>
  <c r="E27" i="2"/>
  <c r="L27" i="2" s="1"/>
  <c r="M27" i="2" s="1"/>
  <c r="G26" i="2"/>
  <c r="E26" i="2"/>
  <c r="G25" i="2"/>
  <c r="E25" i="2"/>
  <c r="L25" i="2" s="1"/>
  <c r="M25" i="2" s="1"/>
  <c r="J25" i="2"/>
  <c r="K25" i="2" s="1"/>
  <c r="J26" i="2"/>
  <c r="K26" i="2" s="1"/>
  <c r="H25" i="2"/>
  <c r="I25" i="2" s="1"/>
  <c r="H26" i="2"/>
  <c r="I26" i="2" s="1"/>
  <c r="H27" i="2"/>
  <c r="I27" i="2" s="1"/>
  <c r="H24" i="2"/>
  <c r="I24" i="2" s="1"/>
  <c r="G24" i="2"/>
  <c r="G23" i="2"/>
  <c r="J24" i="2"/>
  <c r="K24" i="2" s="1"/>
  <c r="E24" i="2"/>
  <c r="J10" i="2"/>
  <c r="K10" i="2" s="1"/>
  <c r="J13" i="2"/>
  <c r="K13" i="2" s="1"/>
  <c r="J14" i="2"/>
  <c r="K14" i="2" s="1"/>
  <c r="J15" i="2"/>
  <c r="K15" i="2" s="1"/>
  <c r="J16" i="2"/>
  <c r="K16" i="2" s="1"/>
  <c r="J17" i="2"/>
  <c r="K17" i="2" s="1"/>
  <c r="J21" i="2"/>
  <c r="K21" i="2" s="1"/>
  <c r="J22" i="2"/>
  <c r="K22" i="2" s="1"/>
  <c r="J23" i="2"/>
  <c r="K23" i="2" s="1"/>
  <c r="H9" i="2"/>
  <c r="I9" i="2" s="1"/>
  <c r="H10" i="2"/>
  <c r="I10" i="2" s="1"/>
  <c r="H12" i="2"/>
  <c r="I12" i="2" s="1"/>
  <c r="H13" i="2"/>
  <c r="I13" i="2" s="1"/>
  <c r="H14" i="2"/>
  <c r="I14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J3" i="2"/>
  <c r="K3" i="2" s="1"/>
  <c r="J6" i="2"/>
  <c r="K6" i="2" s="1"/>
  <c r="J7" i="2"/>
  <c r="K7" i="2" s="1"/>
  <c r="H3" i="2"/>
  <c r="I3" i="2" s="1"/>
  <c r="H5" i="2"/>
  <c r="I5" i="2" s="1"/>
  <c r="H7" i="2"/>
  <c r="I7" i="2" s="1"/>
  <c r="E23" i="2"/>
  <c r="D23" i="2"/>
  <c r="H23" i="2" s="1"/>
  <c r="I23" i="2" s="1"/>
  <c r="G22" i="2"/>
  <c r="E22" i="2"/>
  <c r="G21" i="2"/>
  <c r="E21" i="2"/>
  <c r="G20" i="2"/>
  <c r="E20" i="2"/>
  <c r="G19" i="2"/>
  <c r="E19" i="2"/>
  <c r="G18" i="2"/>
  <c r="E18" i="2"/>
  <c r="F18" i="2" s="1"/>
  <c r="J18" i="2" s="1"/>
  <c r="K18" i="2" s="1"/>
  <c r="G17" i="2"/>
  <c r="E17" i="2"/>
  <c r="G16" i="2"/>
  <c r="E16" i="2"/>
  <c r="G15" i="2"/>
  <c r="E15" i="2"/>
  <c r="D15" i="2"/>
  <c r="H15" i="2" s="1"/>
  <c r="I15" i="2" s="1"/>
  <c r="G14" i="2"/>
  <c r="E14" i="2"/>
  <c r="G12" i="2"/>
  <c r="E12" i="2"/>
  <c r="F12" i="2" s="1"/>
  <c r="J12" i="2" s="1"/>
  <c r="K12" i="2" s="1"/>
  <c r="G11" i="2"/>
  <c r="E11" i="2"/>
  <c r="D11" i="2"/>
  <c r="H11" i="2" s="1"/>
  <c r="I11" i="2" s="1"/>
  <c r="E10" i="2"/>
  <c r="L10" i="2" s="1"/>
  <c r="M10" i="2" s="1"/>
  <c r="E9" i="2"/>
  <c r="G9" i="2"/>
  <c r="G7" i="2"/>
  <c r="E7" i="2"/>
  <c r="G6" i="2"/>
  <c r="E6" i="2"/>
  <c r="D6" i="2"/>
  <c r="H6" i="2" s="1"/>
  <c r="I6" i="2" s="1"/>
  <c r="G13" i="2"/>
  <c r="E13" i="2"/>
  <c r="L13" i="2" s="1"/>
  <c r="M13" i="2" s="1"/>
  <c r="G5" i="2"/>
  <c r="E5" i="2"/>
  <c r="G4" i="2"/>
  <c r="E4" i="2"/>
  <c r="L4" i="2" s="1"/>
  <c r="M4" i="2" s="1"/>
  <c r="D4" i="2"/>
  <c r="H4" i="2" s="1"/>
  <c r="I4" i="2" s="1"/>
  <c r="G3" i="2"/>
  <c r="E3" i="2"/>
  <c r="L2" i="2"/>
  <c r="M2" i="2" s="1"/>
  <c r="J2" i="2"/>
  <c r="K2" i="2" s="1"/>
  <c r="G2" i="2"/>
  <c r="E2" i="2"/>
  <c r="D2" i="2"/>
  <c r="H2" i="2" s="1"/>
  <c r="I2" i="2" s="1"/>
  <c r="J8" i="2"/>
  <c r="K8" i="2" s="1"/>
  <c r="L8" i="2"/>
  <c r="M8" i="2" s="1"/>
  <c r="H8" i="2"/>
  <c r="I8" i="2" s="1"/>
  <c r="N11" i="3" l="1"/>
  <c r="O11" i="3" s="1"/>
  <c r="Q11" i="3" s="1"/>
  <c r="R11" i="3" s="1"/>
  <c r="L26" i="2"/>
  <c r="M26" i="2" s="1"/>
  <c r="S21" i="9"/>
  <c r="T21" i="9" s="1"/>
  <c r="S26" i="9"/>
  <c r="T26" i="9" s="1"/>
  <c r="S17" i="9"/>
  <c r="T17" i="9" s="1"/>
  <c r="S18" i="9"/>
  <c r="T18" i="9" s="1"/>
  <c r="S9" i="9"/>
  <c r="T9" i="9" s="1"/>
  <c r="S13" i="9"/>
  <c r="T13" i="9" s="1"/>
  <c r="U26" i="6"/>
  <c r="V26" i="6" s="1"/>
  <c r="U10" i="6"/>
  <c r="V10" i="6" s="1"/>
  <c r="U23" i="6"/>
  <c r="V23" i="6" s="1"/>
  <c r="U22" i="6"/>
  <c r="V22" i="6" s="1"/>
  <c r="U21" i="6"/>
  <c r="V21" i="6" s="1"/>
  <c r="V6" i="6"/>
  <c r="U6" i="6"/>
  <c r="U19" i="6"/>
  <c r="V19" i="6" s="1"/>
  <c r="U24" i="6"/>
  <c r="V24" i="6" s="1"/>
  <c r="U20" i="6"/>
  <c r="V20" i="6" s="1"/>
  <c r="U9" i="6"/>
  <c r="V9" i="6" s="1"/>
  <c r="U3" i="6"/>
  <c r="V3" i="6" s="1"/>
  <c r="U18" i="6"/>
  <c r="V18" i="6" s="1"/>
  <c r="U15" i="6"/>
  <c r="V15" i="6" s="1"/>
  <c r="U17" i="6"/>
  <c r="V17" i="6" s="1"/>
  <c r="U5" i="6"/>
  <c r="V5" i="6" s="1"/>
  <c r="U8" i="6"/>
  <c r="V8" i="6" s="1"/>
  <c r="U14" i="6"/>
  <c r="V14" i="6" s="1"/>
  <c r="U27" i="6"/>
  <c r="V27" i="6" s="1"/>
  <c r="U11" i="6"/>
  <c r="V11" i="6" s="1"/>
  <c r="U25" i="6"/>
  <c r="V25" i="6" s="1"/>
  <c r="U13" i="6"/>
  <c r="V13" i="6" s="1"/>
  <c r="U4" i="6"/>
  <c r="V4" i="6" s="1"/>
  <c r="U16" i="6"/>
  <c r="V16" i="6" s="1"/>
  <c r="U7" i="6"/>
  <c r="V7" i="6" s="1"/>
  <c r="U12" i="6"/>
  <c r="V12" i="6" s="1"/>
  <c r="U22" i="3"/>
  <c r="V22" i="3" s="1"/>
  <c r="U10" i="3"/>
  <c r="V10" i="3" s="1"/>
  <c r="U16" i="3"/>
  <c r="V16" i="3" s="1"/>
  <c r="U4" i="3"/>
  <c r="V4" i="3" s="1"/>
  <c r="U20" i="3"/>
  <c r="V20" i="3" s="1"/>
  <c r="U12" i="3"/>
  <c r="V12" i="3" s="1"/>
  <c r="U24" i="3"/>
  <c r="V24" i="3" s="1"/>
  <c r="U14" i="3"/>
  <c r="V14" i="3" s="1"/>
  <c r="U21" i="3"/>
  <c r="V21" i="3" s="1"/>
  <c r="U19" i="3"/>
  <c r="V19" i="3" s="1"/>
  <c r="U8" i="3"/>
  <c r="V8" i="3" s="1"/>
  <c r="U25" i="3"/>
  <c r="V25" i="3" s="1"/>
  <c r="U13" i="3"/>
  <c r="V13" i="3" s="1"/>
  <c r="U17" i="3"/>
  <c r="V17" i="3" s="1"/>
  <c r="U18" i="3"/>
  <c r="V18" i="3" s="1"/>
  <c r="U7" i="3"/>
  <c r="V7" i="3" s="1"/>
  <c r="U23" i="3"/>
  <c r="V23" i="3" s="1"/>
  <c r="U15" i="3"/>
  <c r="V15" i="3" s="1"/>
  <c r="U27" i="3"/>
  <c r="V27" i="3" s="1"/>
  <c r="U5" i="3"/>
  <c r="V5" i="3" s="1"/>
  <c r="U11" i="3"/>
  <c r="V11" i="3" s="1"/>
  <c r="L23" i="2"/>
  <c r="M23" i="2" s="1"/>
  <c r="L24" i="2"/>
  <c r="M24" i="2" s="1"/>
  <c r="L20" i="2"/>
  <c r="M20" i="2" s="1"/>
  <c r="L22" i="2"/>
  <c r="M22" i="2" s="1"/>
  <c r="N22" i="2" s="1"/>
  <c r="O22" i="2" s="1"/>
  <c r="Q22" i="2" s="1"/>
  <c r="R22" i="2" s="1"/>
  <c r="L6" i="2"/>
  <c r="M6" i="2" s="1"/>
  <c r="L11" i="2"/>
  <c r="M11" i="2" s="1"/>
  <c r="L15" i="2"/>
  <c r="M15" i="2" s="1"/>
  <c r="N15" i="2" s="1"/>
  <c r="O15" i="2" s="1"/>
  <c r="Q15" i="2" s="1"/>
  <c r="R15" i="2" s="1"/>
  <c r="L17" i="2"/>
  <c r="M17" i="2" s="1"/>
  <c r="N17" i="2" s="1"/>
  <c r="O17" i="2" s="1"/>
  <c r="Q17" i="2" s="1"/>
  <c r="R17" i="2" s="1"/>
  <c r="L9" i="2"/>
  <c r="M9" i="2" s="1"/>
  <c r="F20" i="2"/>
  <c r="J20" i="2" s="1"/>
  <c r="K20" i="2" s="1"/>
  <c r="N2" i="2"/>
  <c r="O2" i="2" s="1"/>
  <c r="Q2" i="2" s="1"/>
  <c r="R2" i="2" s="1"/>
  <c r="U2" i="2" s="1"/>
  <c r="N8" i="2"/>
  <c r="O8" i="2" s="1"/>
  <c r="Q8" i="2" s="1"/>
  <c r="R8" i="2" s="1"/>
  <c r="L3" i="2"/>
  <c r="M3" i="2" s="1"/>
  <c r="L7" i="2"/>
  <c r="M7" i="2" s="1"/>
  <c r="N7" i="2" s="1"/>
  <c r="O7" i="2" s="1"/>
  <c r="Q7" i="2" s="1"/>
  <c r="R7" i="2" s="1"/>
  <c r="F11" i="2"/>
  <c r="J11" i="2" s="1"/>
  <c r="K11" i="2" s="1"/>
  <c r="N11" i="2" s="1"/>
  <c r="O11" i="2" s="1"/>
  <c r="Q11" i="2" s="1"/>
  <c r="R11" i="2" s="1"/>
  <c r="L14" i="2"/>
  <c r="M14" i="2" s="1"/>
  <c r="N14" i="2" s="1"/>
  <c r="O14" i="2" s="1"/>
  <c r="Q14" i="2" s="1"/>
  <c r="R14" i="2" s="1"/>
  <c r="L19" i="2"/>
  <c r="M19" i="2" s="1"/>
  <c r="N26" i="2"/>
  <c r="O26" i="2" s="1"/>
  <c r="Q26" i="2" s="1"/>
  <c r="R26" i="2" s="1"/>
  <c r="L5" i="2"/>
  <c r="M5" i="2" s="1"/>
  <c r="N6" i="2"/>
  <c r="O6" i="2" s="1"/>
  <c r="Q6" i="2" s="1"/>
  <c r="R6" i="2" s="1"/>
  <c r="V6" i="2" s="1"/>
  <c r="L12" i="2"/>
  <c r="M12" i="2" s="1"/>
  <c r="L16" i="2"/>
  <c r="M16" i="2" s="1"/>
  <c r="N16" i="2" s="1"/>
  <c r="O16" i="2" s="1"/>
  <c r="Q16" i="2" s="1"/>
  <c r="L18" i="2"/>
  <c r="M18" i="2" s="1"/>
  <c r="N18" i="2" s="1"/>
  <c r="O18" i="2" s="1"/>
  <c r="Q18" i="2" s="1"/>
  <c r="R18" i="2" s="1"/>
  <c r="L21" i="2"/>
  <c r="M21" i="2" s="1"/>
  <c r="N21" i="2" s="1"/>
  <c r="O21" i="2" s="1"/>
  <c r="Q21" i="2" s="1"/>
  <c r="R21" i="2" s="1"/>
  <c r="N23" i="2"/>
  <c r="O23" i="2" s="1"/>
  <c r="Q23" i="2" s="1"/>
  <c r="R23" i="2" s="1"/>
  <c r="N25" i="2"/>
  <c r="O25" i="2" s="1"/>
  <c r="Q25" i="2" s="1"/>
  <c r="R25" i="2" s="1"/>
  <c r="N12" i="2"/>
  <c r="O12" i="2" s="1"/>
  <c r="Q12" i="2" s="1"/>
  <c r="R12" i="2" s="1"/>
  <c r="N24" i="2"/>
  <c r="O24" i="2" s="1"/>
  <c r="Q24" i="2" s="1"/>
  <c r="R24" i="2" s="1"/>
  <c r="N10" i="2"/>
  <c r="O10" i="2" s="1"/>
  <c r="Q10" i="2" s="1"/>
  <c r="R10" i="2" s="1"/>
  <c r="N3" i="2"/>
  <c r="O3" i="2" s="1"/>
  <c r="Q3" i="2" s="1"/>
  <c r="R3" i="2" s="1"/>
  <c r="N13" i="2"/>
  <c r="O13" i="2" s="1"/>
  <c r="Q13" i="2" s="1"/>
  <c r="R13" i="2" s="1"/>
  <c r="F4" i="2"/>
  <c r="J4" i="2" s="1"/>
  <c r="K4" i="2" s="1"/>
  <c r="N4" i="2" s="1"/>
  <c r="O4" i="2" s="1"/>
  <c r="Q4" i="2" s="1"/>
  <c r="R4" i="2" s="1"/>
  <c r="F5" i="2"/>
  <c r="J5" i="2" s="1"/>
  <c r="K5" i="2" s="1"/>
  <c r="F9" i="2"/>
  <c r="J9" i="2" s="1"/>
  <c r="K9" i="2" s="1"/>
  <c r="N9" i="2" s="1"/>
  <c r="O9" i="2" s="1"/>
  <c r="Q9" i="2" s="1"/>
  <c r="R9" i="2" s="1"/>
  <c r="F27" i="2"/>
  <c r="J27" i="2" s="1"/>
  <c r="K27" i="2" s="1"/>
  <c r="N27" i="2" s="1"/>
  <c r="O27" i="2" s="1"/>
  <c r="Q27" i="2" s="1"/>
  <c r="R27" i="2" s="1"/>
  <c r="F19" i="2"/>
  <c r="J19" i="2" s="1"/>
  <c r="K19" i="2" s="1"/>
  <c r="N19" i="2" s="1"/>
  <c r="O19" i="2" s="1"/>
  <c r="Q19" i="2" s="1"/>
  <c r="R19" i="2" s="1"/>
  <c r="O2" i="9"/>
  <c r="P2" i="9" s="1"/>
  <c r="S2" i="9" s="1"/>
  <c r="Q2" i="6"/>
  <c r="R2" i="6" s="1"/>
  <c r="U2" i="6" s="1"/>
  <c r="O2" i="5"/>
  <c r="P2" i="5" s="1"/>
  <c r="S2" i="5" s="1"/>
  <c r="O2" i="4"/>
  <c r="P2" i="4" s="1"/>
  <c r="Q2" i="3"/>
  <c r="R2" i="3" s="1"/>
  <c r="U2" i="3" s="1"/>
  <c r="O2" i="1"/>
  <c r="N20" i="2" l="1"/>
  <c r="O20" i="2" s="1"/>
  <c r="Q20" i="2" s="1"/>
  <c r="R20" i="2" s="1"/>
  <c r="U20" i="2" s="1"/>
  <c r="V20" i="2" s="1"/>
  <c r="N5" i="2"/>
  <c r="O5" i="2" s="1"/>
  <c r="Q5" i="2" s="1"/>
  <c r="R5" i="2" s="1"/>
  <c r="U5" i="2" s="1"/>
  <c r="V5" i="2" s="1"/>
  <c r="U7" i="2"/>
  <c r="V7" i="2" s="1"/>
  <c r="U9" i="2"/>
  <c r="V9" i="2" s="1"/>
  <c r="U21" i="2"/>
  <c r="V21" i="2" s="1"/>
  <c r="U3" i="2"/>
  <c r="V3" i="2" s="1"/>
  <c r="U24" i="2"/>
  <c r="V24" i="2" s="1"/>
  <c r="U14" i="2"/>
  <c r="V14" i="2" s="1"/>
  <c r="U8" i="2"/>
  <c r="V8" i="2" s="1"/>
  <c r="U17" i="2"/>
  <c r="V17" i="2" s="1"/>
  <c r="U22" i="2"/>
  <c r="V22" i="2" s="1"/>
  <c r="U10" i="2"/>
  <c r="V10" i="2" s="1"/>
  <c r="U12" i="2"/>
  <c r="V12" i="2" s="1"/>
  <c r="U18" i="2"/>
  <c r="V18" i="2" s="1"/>
  <c r="U11" i="2"/>
  <c r="V11" i="2" s="1"/>
  <c r="U15" i="2"/>
  <c r="V15" i="2" s="1"/>
  <c r="U19" i="2"/>
  <c r="V19" i="2" s="1"/>
  <c r="U4" i="2"/>
  <c r="V4" i="2" s="1"/>
  <c r="U25" i="2"/>
  <c r="V25" i="2" s="1"/>
  <c r="U26" i="2"/>
  <c r="V26" i="2" s="1"/>
  <c r="U27" i="2"/>
  <c r="V27" i="2" s="1"/>
  <c r="U13" i="2"/>
  <c r="V13" i="2" s="1"/>
  <c r="U23" i="2"/>
  <c r="V23" i="2" s="1"/>
  <c r="T2" i="9"/>
  <c r="V2" i="6"/>
  <c r="T2" i="5"/>
  <c r="T2" i="4"/>
  <c r="V2" i="3"/>
  <c r="V2" i="2"/>
  <c r="P2" i="1"/>
  <c r="S2" i="1" s="1"/>
  <c r="T2" i="1" l="1"/>
</calcChain>
</file>

<file path=xl/sharedStrings.xml><?xml version="1.0" encoding="utf-8"?>
<sst xmlns="http://schemas.openxmlformats.org/spreadsheetml/2006/main" count="373" uniqueCount="60">
  <si>
    <t>LP</t>
  </si>
  <si>
    <t>NAZWA GMINY</t>
  </si>
  <si>
    <t>OCENA WRAŻLIWOŚCI</t>
  </si>
  <si>
    <t>OCENA EKSPOZYCJI NA ZAGROŻENIE</t>
  </si>
  <si>
    <t>WPŁYW ZAGROŻENIA</t>
  </si>
  <si>
    <t>OCENA WPŁYWU ZAGROŻENIA</t>
  </si>
  <si>
    <t>OCENA POTENCJAŁU ADAPTACYJNEGO SEKTORA</t>
  </si>
  <si>
    <t>PODATNOŚĆ NA ZAGROŻENIE</t>
  </si>
  <si>
    <t>OCENA PODATNOŚCI NA ZAGROŻENIE</t>
  </si>
  <si>
    <t>OCENA KONSEKWNCJI WYSTĄPIENIA ZAGROŻENIA</t>
  </si>
  <si>
    <t>OCENA PRAWDOPODOBIEŃSTWA WYSTĄPIENIA ZAGROŻENIA</t>
  </si>
  <si>
    <t>RYZYKO WPŁYWU ZAGROŻENIA</t>
  </si>
  <si>
    <t>OCENA RYZYKA WPŁYWU ZAGROŻENIA</t>
  </si>
  <si>
    <t>Lwówek Śląski</t>
  </si>
  <si>
    <t>Wojcieszów</t>
  </si>
  <si>
    <t>Świeradów-Zdrój</t>
  </si>
  <si>
    <t>Podgórzyn</t>
  </si>
  <si>
    <t>Bolków</t>
  </si>
  <si>
    <t>Szklarska Poręba</t>
  </si>
  <si>
    <t>Karpacz</t>
  </si>
  <si>
    <t>Lubomierz</t>
  </si>
  <si>
    <t>Pielgrzymka</t>
  </si>
  <si>
    <t>Świerzawa</t>
  </si>
  <si>
    <t>Piechowice</t>
  </si>
  <si>
    <t>Jeżów Sudecki</t>
  </si>
  <si>
    <t>Olszyna</t>
  </si>
  <si>
    <t>Mirsk</t>
  </si>
  <si>
    <t>Leśna</t>
  </si>
  <si>
    <t>Gryfów Śląski</t>
  </si>
  <si>
    <t>Zagrodno</t>
  </si>
  <si>
    <t>Janowice Wielkie</t>
  </si>
  <si>
    <t>Stara Kamienica</t>
  </si>
  <si>
    <t>Jelenia Góra</t>
  </si>
  <si>
    <t>Mysłakowice</t>
  </si>
  <si>
    <t>Wleń</t>
  </si>
  <si>
    <t>Kowary</t>
  </si>
  <si>
    <t>Marciszów</t>
  </si>
  <si>
    <t>brak</t>
  </si>
  <si>
    <t>powierzchnia antropogeniczna [km2]</t>
  </si>
  <si>
    <t>WSKAŹNIK DO OCENY WRAŻLIWOŚCI 2 - AWARYJNOŚĆ (liczba awarii na km sieci)</t>
  </si>
  <si>
    <t>WSKAŹNIK DO OCENY WRAŻLIWOŚCI 4 - straty (udział strat w łącznej ilości dostarczonej wody %)</t>
  </si>
  <si>
    <t>Złotoryja - gmina miejska</t>
  </si>
  <si>
    <t>Złotoryja - gmina wiejska</t>
  </si>
  <si>
    <t>WSKAŹNIK DO OCENY WRAŻLIWOŚCI 1 - GĘSTOŚĆ (średnia gęstość sieci wod) [km/km2]</t>
  </si>
  <si>
    <t>liczba awarii (szt.) średnia z 2019-2021</t>
  </si>
  <si>
    <t>WSKAŹNIK DO OCENY WRAŻLIWOŚCI 1 - KLASA</t>
  </si>
  <si>
    <t>liczba awarii na 1 km sieci wod [m3] średnia z 2019-2021 r. (w przypadku braku danych policzono z danych dot. dł sieci)</t>
  </si>
  <si>
    <t>WSKAŹNIK DO OCENY WRAŻLIWOŚCI 2 - KLASA</t>
  </si>
  <si>
    <t>WSKAŹNIK DO OCENY WRAŻLIWOŚCI 3 - UCIĄŻLIWOŚĆ (liczba awarii /przyłącza)</t>
  </si>
  <si>
    <t>WSKAŹNIK DO OCENY WRAŻLIWOŚCI 3 - KLASA</t>
  </si>
  <si>
    <t>WRAŻLIWOŚĆ (wsk. 1- 30%, wsk. 2 -30%, wsk. 3- 40%)</t>
  </si>
  <si>
    <t>liczna przyłączny do sieci wod (szt.) średnia z 2019-2021 r.</t>
  </si>
  <si>
    <t xml:space="preserve"> POTENCJAŁ ADAPTACYJNY SEKTORA</t>
  </si>
  <si>
    <t>długośc sieci wod (gus: urządzenia sieciowe/wodociągi/dł. eksploat. sieci (rozdz i przesyłowej) [km] średnia z 2019-2020-2021 r.</t>
  </si>
  <si>
    <t>POTENCJAŁ ADAPTACYJNY SEKTORA</t>
  </si>
  <si>
    <t>WSKAŹNIK DO OCENY WRAŻLIWOŚCI 2 - m3 na 1 mieszkańca ogółem (średnia za 2019-2021)</t>
  </si>
  <si>
    <t>WSKAŹNIK DO OCENY WRAŻLIWOŚCI 3 - awaryjność (awaryjność/ludność korzystająca)</t>
  </si>
  <si>
    <t>WSKAŹNIK DO OCENY WRAŻLIWOŚCI 1 - zapotrzebowanie (średnia z 2019-2021 z poboru wody ogółem w m3)</t>
  </si>
  <si>
    <t>WSKAŹNIK DO OCENY WRAŻLIWOŚCI 4 - KLASA</t>
  </si>
  <si>
    <t>WRAŻLIWOŚĆ (wsk. 1-20%, wsk. 2-20%, wsk. 3-20%, wsk. 4-40%)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</si>
</sst>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/>
      <diagonal/>
    </border>
    <border>
      <left style="medium">
        <color theme="2" tint="-0.499984740745262"/>
      </left>
      <right/>
      <top style="medium">
        <color theme="2" tint="-0.499984740745262"/>
      </top>
      <bottom style="thin">
        <color theme="2" tint="-0.499984740745262"/>
      </bottom>
      <diagonal/>
    </border>
  </borders>
  <cellStyleXfs count="4">
    <xf numFmtId="0" fontId="0" fillId="0" borderId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</cellStyleXfs>
  <cellXfs count="14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2" fontId="0" fillId="0" borderId="0" xfId="0" applyNumberFormat="1"/>
    <xf numFmtId="0" fontId="5" fillId="0" borderId="0" xfId="1" applyFill="1"/>
    <xf numFmtId="0" fontId="7" fillId="0" borderId="0" xfId="3" applyFill="1"/>
    <xf numFmtId="0" fontId="6" fillId="0" borderId="0" xfId="2" applyFill="1"/>
    <xf numFmtId="165" fontId="2" fillId="0" borderId="5" xfId="0" applyNumberFormat="1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2" fillId="0" borderId="15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0" fillId="0" borderId="9" xfId="0" applyFont="1" applyBorder="1" applyAlignment="1">
      <alignment horizontal="center" vertical="center" wrapText="1"/>
    </xf>
    <xf numFmtId="164" fontId="10" fillId="0" borderId="17" xfId="0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wrapText="1"/>
    </xf>
    <xf numFmtId="1" fontId="12" fillId="0" borderId="15" xfId="0" applyNumberFormat="1" applyFont="1" applyBorder="1" applyAlignment="1">
      <alignment horizontal="center" vertical="center" wrapText="1"/>
    </xf>
    <xf numFmtId="164" fontId="12" fillId="0" borderId="15" xfId="0" applyNumberFormat="1" applyFont="1" applyBorder="1" applyAlignment="1">
      <alignment horizontal="center" vertical="center" wrapText="1"/>
    </xf>
    <xf numFmtId="1" fontId="12" fillId="0" borderId="16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0" fillId="0" borderId="17" xfId="0" applyNumberFormat="1" applyFont="1" applyBorder="1" applyAlignment="1">
      <alignment horizontal="center" wrapText="1"/>
    </xf>
    <xf numFmtId="0" fontId="12" fillId="8" borderId="15" xfId="0" applyFont="1" applyFill="1" applyBorder="1" applyAlignment="1">
      <alignment horizontal="center" wrapText="1"/>
    </xf>
    <xf numFmtId="0" fontId="12" fillId="9" borderId="15" xfId="0" applyFont="1" applyFill="1" applyBorder="1" applyAlignment="1">
      <alignment horizontal="center" wrapText="1"/>
    </xf>
    <xf numFmtId="0" fontId="12" fillId="6" borderId="15" xfId="0" applyFont="1" applyFill="1" applyBorder="1" applyAlignment="1">
      <alignment horizontal="center" wrapText="1"/>
    </xf>
    <xf numFmtId="0" fontId="12" fillId="6" borderId="16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2" fillId="8" borderId="15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2" fillId="9" borderId="15" xfId="0" applyFont="1" applyFill="1" applyBorder="1" applyAlignment="1">
      <alignment horizontal="center" vertical="center" wrapText="1"/>
    </xf>
    <xf numFmtId="0" fontId="12" fillId="10" borderId="15" xfId="0" applyFont="1" applyFill="1" applyBorder="1" applyAlignment="1">
      <alignment horizontal="center" vertical="center" wrapText="1"/>
    </xf>
    <xf numFmtId="0" fontId="12" fillId="9" borderId="16" xfId="0" applyFont="1" applyFill="1" applyBorder="1" applyAlignment="1">
      <alignment horizontal="center" vertical="center" wrapText="1"/>
    </xf>
    <xf numFmtId="0" fontId="11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1" fontId="2" fillId="0" borderId="18" xfId="0" applyNumberFormat="1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2" fontId="2" fillId="0" borderId="0" xfId="0" applyNumberFormat="1" applyFont="1"/>
    <xf numFmtId="0" fontId="8" fillId="0" borderId="0" xfId="0" applyFont="1"/>
    <xf numFmtId="2" fontId="8" fillId="0" borderId="0" xfId="0" applyNumberFormat="1" applyFont="1"/>
    <xf numFmtId="0" fontId="12" fillId="8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0" fillId="0" borderId="9" xfId="0" applyBorder="1"/>
    <xf numFmtId="0" fontId="0" fillId="0" borderId="1" xfId="0" applyBorder="1" applyAlignment="1">
      <alignment horizontal="center" vertical="center"/>
    </xf>
    <xf numFmtId="0" fontId="12" fillId="10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4">
    <cellStyle name="Dobry" xfId="1" builtinId="26"/>
    <cellStyle name="Neutralny" xfId="3" builtinId="28"/>
    <cellStyle name="Normalny" xfId="0" builtinId="0"/>
    <cellStyle name="Zły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00196-061E-4C7E-870E-9C154E49A485}">
  <dimension ref="A1:AB56"/>
  <sheetViews>
    <sheetView tabSelected="1" zoomScale="70" zoomScaleNormal="70" workbookViewId="0">
      <pane xSplit="2" ySplit="1" topLeftCell="K2" activePane="bottomRight" state="frozen"/>
      <selection pane="topRight" activeCell="C1" sqref="C1"/>
      <selection pane="bottomLeft" activeCell="A2" sqref="A2"/>
      <selection pane="bottomRight" activeCell="R16" sqref="R16"/>
    </sheetView>
  </sheetViews>
  <sheetFormatPr defaultRowHeight="15" x14ac:dyDescent="0.25"/>
  <cols>
    <col min="2" max="2" width="27" customWidth="1"/>
    <col min="3" max="3" width="17.85546875" customWidth="1"/>
    <col min="4" max="7" width="15.85546875" customWidth="1"/>
    <col min="8" max="8" width="16.85546875" customWidth="1"/>
    <col min="9" max="9" width="18.42578125" customWidth="1"/>
    <col min="10" max="10" width="15.42578125" customWidth="1"/>
    <col min="11" max="11" width="18.85546875" customWidth="1"/>
    <col min="12" max="12" width="17" customWidth="1"/>
    <col min="13" max="13" width="19" customWidth="1"/>
    <col min="14" max="14" width="15.5703125" customWidth="1"/>
    <col min="15" max="15" width="15.42578125" customWidth="1"/>
    <col min="16" max="16" width="17.85546875" customWidth="1"/>
    <col min="17" max="17" width="13.28515625" customWidth="1"/>
    <col min="18" max="18" width="15.28515625" customWidth="1"/>
    <col min="19" max="19" width="17.85546875" customWidth="1"/>
    <col min="20" max="20" width="19.42578125" customWidth="1"/>
    <col min="21" max="21" width="14.85546875" customWidth="1"/>
    <col min="22" max="22" width="16.5703125" customWidth="1"/>
    <col min="23" max="23" width="16.42578125" customWidth="1"/>
    <col min="24" max="24" width="16.28515625" customWidth="1"/>
    <col min="25" max="25" width="14.7109375" customWidth="1"/>
    <col min="26" max="26" width="18.85546875" customWidth="1"/>
  </cols>
  <sheetData>
    <row r="1" spans="1:28" ht="165" x14ac:dyDescent="0.25">
      <c r="A1" s="4" t="s">
        <v>0</v>
      </c>
      <c r="B1" s="5" t="s">
        <v>1</v>
      </c>
      <c r="C1" s="34" t="s">
        <v>38</v>
      </c>
      <c r="D1" s="35" t="s">
        <v>53</v>
      </c>
      <c r="E1" s="35" t="s">
        <v>44</v>
      </c>
      <c r="F1" s="35" t="s">
        <v>46</v>
      </c>
      <c r="G1" s="36" t="s">
        <v>51</v>
      </c>
      <c r="H1" s="34" t="s">
        <v>43</v>
      </c>
      <c r="I1" s="36" t="s">
        <v>45</v>
      </c>
      <c r="J1" s="34" t="s">
        <v>39</v>
      </c>
      <c r="K1" s="36" t="s">
        <v>47</v>
      </c>
      <c r="L1" s="34" t="s">
        <v>48</v>
      </c>
      <c r="M1" s="36" t="s">
        <v>49</v>
      </c>
      <c r="N1" s="41" t="s">
        <v>50</v>
      </c>
      <c r="O1" s="39" t="s">
        <v>2</v>
      </c>
      <c r="P1" s="37" t="s">
        <v>3</v>
      </c>
      <c r="Q1" s="38" t="s">
        <v>4</v>
      </c>
      <c r="R1" s="39" t="s">
        <v>5</v>
      </c>
      <c r="S1" s="41" t="s">
        <v>52</v>
      </c>
      <c r="T1" s="39" t="s">
        <v>6</v>
      </c>
      <c r="U1" s="41" t="s">
        <v>7</v>
      </c>
      <c r="V1" s="39" t="s">
        <v>8</v>
      </c>
      <c r="W1" s="40" t="s">
        <v>9</v>
      </c>
      <c r="X1" s="40" t="s">
        <v>10</v>
      </c>
      <c r="Y1" s="40" t="s">
        <v>11</v>
      </c>
      <c r="Z1" s="40" t="s">
        <v>12</v>
      </c>
      <c r="AA1" s="3"/>
      <c r="AB1" s="3"/>
    </row>
    <row r="2" spans="1:28" x14ac:dyDescent="0.25">
      <c r="A2" s="6">
        <v>1</v>
      </c>
      <c r="B2" s="8" t="s">
        <v>13</v>
      </c>
      <c r="C2" s="17">
        <v>19.836400000000001</v>
      </c>
      <c r="D2" s="9">
        <f>(210.6+211)/2</f>
        <v>210.8</v>
      </c>
      <c r="E2" s="9">
        <f>(19+16+47)/3</f>
        <v>27.333333333333332</v>
      </c>
      <c r="F2" s="10">
        <v>0.1</v>
      </c>
      <c r="G2" s="18">
        <f>(3248+3280+3317)/3</f>
        <v>3281.6666666666665</v>
      </c>
      <c r="H2" s="23">
        <f t="shared" ref="H2:H7" si="0">D2/C2</f>
        <v>10.626928273275393</v>
      </c>
      <c r="I2" s="24">
        <f t="shared" ref="I2:I27" si="1">IF(H2&lt;7,1,IF(H2&lt;12,2,3))</f>
        <v>2</v>
      </c>
      <c r="J2" s="23">
        <f t="shared" ref="J2:J27" si="2">F2</f>
        <v>0.1</v>
      </c>
      <c r="K2" s="24">
        <f t="shared" ref="K2:K27" si="3">IF(J2&lt;0.2,1,IF(J2&lt;1,2,3))</f>
        <v>1</v>
      </c>
      <c r="L2" s="31">
        <f t="shared" ref="L2:L7" si="4">E2/G2</f>
        <v>8.3291010665312339E-3</v>
      </c>
      <c r="M2" s="24">
        <f t="shared" ref="M2:M27" si="5">IF(L2&lt;0.015,1,IF(L2&lt;0.035,2,3))</f>
        <v>1</v>
      </c>
      <c r="N2" s="42">
        <f t="shared" ref="N2:N27" si="6">((I2*30%)+(K2*30%)+(M2*40%)/100%)</f>
        <v>1.2999999999999998</v>
      </c>
      <c r="O2" s="43">
        <f t="shared" ref="O2:O27" si="7">IF(N2&lt;1.6,1,IF(N2&lt;2,2,3))</f>
        <v>1</v>
      </c>
      <c r="P2" s="16">
        <v>4</v>
      </c>
      <c r="Q2" s="33">
        <f t="shared" ref="Q2:Q27" si="8">O2*P2</f>
        <v>4</v>
      </c>
      <c r="R2" s="45">
        <f t="shared" ref="R2:R16" si="9">IF(Q2&lt;3,1,IF(Q2&lt;5,2,IF(Q2&lt;12,3,4)))</f>
        <v>2</v>
      </c>
      <c r="S2" s="48">
        <v>1.4</v>
      </c>
      <c r="T2" s="50">
        <f>IF(S2&lt;1.5,1,IF(S2&lt;2.5,2,IF(S2&lt;3.3,3,4)))</f>
        <v>1</v>
      </c>
      <c r="U2" s="54">
        <f>R2-T2</f>
        <v>1</v>
      </c>
      <c r="V2" s="56">
        <f>IF(U2&lt;-1,1,IF(U2&lt;1,2,IF(U2=1,3,4)))</f>
        <v>3</v>
      </c>
      <c r="W2" s="11">
        <v>3</v>
      </c>
      <c r="X2" s="132">
        <v>6</v>
      </c>
      <c r="Y2" s="11">
        <f>W2*X2</f>
        <v>18</v>
      </c>
      <c r="Z2" s="134">
        <f>IF(Y2&lt;6,1,IF(Y2&lt;12,2,IF(Y2&lt;18,3,4)))</f>
        <v>4</v>
      </c>
      <c r="AA2" s="12"/>
      <c r="AB2" s="15"/>
    </row>
    <row r="3" spans="1:28" x14ac:dyDescent="0.25">
      <c r="A3" s="6">
        <v>2</v>
      </c>
      <c r="B3" s="8" t="s">
        <v>14</v>
      </c>
      <c r="C3" s="17">
        <v>2.4489999999999998</v>
      </c>
      <c r="D3" s="9">
        <v>20.399999999999999</v>
      </c>
      <c r="E3" s="9">
        <f>(9+4+7)/3</f>
        <v>6.666666666666667</v>
      </c>
      <c r="F3" s="10">
        <v>0.9</v>
      </c>
      <c r="G3" s="18">
        <f>(371+371+373)/3</f>
        <v>371.66666666666669</v>
      </c>
      <c r="H3" s="23">
        <f t="shared" si="0"/>
        <v>8.3299305839117999</v>
      </c>
      <c r="I3" s="24">
        <f t="shared" si="1"/>
        <v>2</v>
      </c>
      <c r="J3" s="23">
        <f t="shared" si="2"/>
        <v>0.9</v>
      </c>
      <c r="K3" s="24">
        <f t="shared" si="3"/>
        <v>2</v>
      </c>
      <c r="L3" s="31">
        <f t="shared" si="4"/>
        <v>1.7937219730941704E-2</v>
      </c>
      <c r="M3" s="24">
        <f t="shared" si="5"/>
        <v>2</v>
      </c>
      <c r="N3" s="42">
        <f t="shared" si="6"/>
        <v>2</v>
      </c>
      <c r="O3" s="43">
        <f t="shared" si="7"/>
        <v>3</v>
      </c>
      <c r="P3" s="16">
        <v>1</v>
      </c>
      <c r="Q3" s="33">
        <f t="shared" si="8"/>
        <v>3</v>
      </c>
      <c r="R3" s="45">
        <f t="shared" si="9"/>
        <v>2</v>
      </c>
      <c r="S3" s="48">
        <v>1.8</v>
      </c>
      <c r="T3" s="50">
        <f>IF(S3&lt;1.5,1,IF(S3&lt;2.5,2,IF(S3&lt;3.3,3,4)))</f>
        <v>2</v>
      </c>
      <c r="U3" s="54">
        <f>R3-T3</f>
        <v>0</v>
      </c>
      <c r="V3" s="56">
        <f>IF(U3&lt;-1,1,IF(U3&lt;1,2,IF(U3=1,3,4)))</f>
        <v>2</v>
      </c>
      <c r="W3" s="11">
        <v>3</v>
      </c>
      <c r="X3" s="132">
        <v>6</v>
      </c>
      <c r="Y3" s="11">
        <f t="shared" ref="Y3:Y27" si="10">W3*X3</f>
        <v>18</v>
      </c>
      <c r="Z3" s="134">
        <f t="shared" ref="Z3:Z27" si="11">IF(Y3&lt;6,1,IF(Y3&lt;12,2,IF(Y3&lt;18,3,4)))</f>
        <v>4</v>
      </c>
      <c r="AA3" s="12"/>
      <c r="AB3" s="15"/>
    </row>
    <row r="4" spans="1:28" x14ac:dyDescent="0.25">
      <c r="A4" s="6">
        <v>3</v>
      </c>
      <c r="B4" s="13" t="s">
        <v>41</v>
      </c>
      <c r="C4" s="17">
        <v>5.0085000000000006</v>
      </c>
      <c r="D4" s="9">
        <f>(69.5+69.9)/2</f>
        <v>69.7</v>
      </c>
      <c r="E4" s="9">
        <f>(48+43+44)/3</f>
        <v>45</v>
      </c>
      <c r="F4" s="10">
        <f>E4/D4</f>
        <v>0.64562410329985653</v>
      </c>
      <c r="G4" s="18">
        <f>(1539+1546+1547)/3</f>
        <v>1544</v>
      </c>
      <c r="H4" s="23">
        <f t="shared" si="0"/>
        <v>13.91634221822901</v>
      </c>
      <c r="I4" s="24">
        <f t="shared" si="1"/>
        <v>3</v>
      </c>
      <c r="J4" s="23">
        <f t="shared" si="2"/>
        <v>0.64562410329985653</v>
      </c>
      <c r="K4" s="24">
        <f t="shared" si="3"/>
        <v>2</v>
      </c>
      <c r="L4" s="31">
        <f t="shared" si="4"/>
        <v>2.9145077720207253E-2</v>
      </c>
      <c r="M4" s="24">
        <f t="shared" si="5"/>
        <v>2</v>
      </c>
      <c r="N4" s="42">
        <f t="shared" si="6"/>
        <v>2.2999999999999998</v>
      </c>
      <c r="O4" s="43">
        <f t="shared" si="7"/>
        <v>3</v>
      </c>
      <c r="P4" s="16">
        <v>4</v>
      </c>
      <c r="Q4" s="33">
        <f t="shared" si="8"/>
        <v>12</v>
      </c>
      <c r="R4" s="45">
        <f t="shared" si="9"/>
        <v>4</v>
      </c>
      <c r="S4" s="48">
        <v>3.8</v>
      </c>
      <c r="T4" s="50">
        <f>IF(S4&lt;1.5,1,IF(S4&lt;2.5,2,IF(S4&lt;3.3,3,4)))</f>
        <v>4</v>
      </c>
      <c r="U4" s="54">
        <f>R4-T4</f>
        <v>0</v>
      </c>
      <c r="V4" s="56">
        <f>IF(U4&lt;-1,1,IF(U4&lt;1,2,IF(U4=1,3,4)))</f>
        <v>2</v>
      </c>
      <c r="W4" s="11">
        <v>3</v>
      </c>
      <c r="X4" s="132">
        <v>6</v>
      </c>
      <c r="Y4" s="11">
        <f t="shared" si="10"/>
        <v>18</v>
      </c>
      <c r="Z4" s="134">
        <f t="shared" si="11"/>
        <v>4</v>
      </c>
      <c r="AA4" s="12"/>
      <c r="AB4" s="15"/>
    </row>
    <row r="5" spans="1:28" x14ac:dyDescent="0.25">
      <c r="A5" s="6">
        <v>4</v>
      </c>
      <c r="B5" s="8" t="s">
        <v>15</v>
      </c>
      <c r="C5" s="17">
        <v>7.1189</v>
      </c>
      <c r="D5" s="9">
        <v>63.2</v>
      </c>
      <c r="E5" s="9">
        <f>(9+12+10)/3</f>
        <v>10.333333333333334</v>
      </c>
      <c r="F5" s="10">
        <f>E5/D5</f>
        <v>0.16350210970464135</v>
      </c>
      <c r="G5" s="18">
        <f>(874+878+878)/3</f>
        <v>876.66666666666663</v>
      </c>
      <c r="H5" s="23">
        <f t="shared" si="0"/>
        <v>8.8777760609082872</v>
      </c>
      <c r="I5" s="24">
        <f t="shared" si="1"/>
        <v>2</v>
      </c>
      <c r="J5" s="23">
        <f t="shared" si="2"/>
        <v>0.16350210970464135</v>
      </c>
      <c r="K5" s="24">
        <f t="shared" si="3"/>
        <v>1</v>
      </c>
      <c r="L5" s="31">
        <f t="shared" si="4"/>
        <v>1.1787072243346009E-2</v>
      </c>
      <c r="M5" s="24">
        <f t="shared" si="5"/>
        <v>1</v>
      </c>
      <c r="N5" s="42">
        <f t="shared" si="6"/>
        <v>1.2999999999999998</v>
      </c>
      <c r="O5" s="43">
        <f t="shared" si="7"/>
        <v>1</v>
      </c>
      <c r="P5" s="16">
        <v>1</v>
      </c>
      <c r="Q5" s="33">
        <f t="shared" si="8"/>
        <v>1</v>
      </c>
      <c r="R5" s="45">
        <f t="shared" si="9"/>
        <v>1</v>
      </c>
      <c r="S5" s="48">
        <v>2.4</v>
      </c>
      <c r="T5" s="50">
        <f>IF(S5&lt;1.5,1,IF(S5&lt;2.5,2,IF(S5&lt;3.3,3,4)))</f>
        <v>2</v>
      </c>
      <c r="U5" s="54">
        <f>R5-T5</f>
        <v>-1</v>
      </c>
      <c r="V5" s="55">
        <f>IF(U5&lt;-1,1,IF(U5&lt;1,2,IF(U5=1,3,4)))</f>
        <v>2</v>
      </c>
      <c r="W5" s="11">
        <v>3</v>
      </c>
      <c r="X5" s="132">
        <v>6</v>
      </c>
      <c r="Y5" s="11">
        <f t="shared" si="10"/>
        <v>18</v>
      </c>
      <c r="Z5" s="134">
        <f t="shared" si="11"/>
        <v>4</v>
      </c>
      <c r="AA5" s="12"/>
      <c r="AB5" s="15"/>
    </row>
    <row r="6" spans="1:28" x14ac:dyDescent="0.25">
      <c r="A6" s="6">
        <v>5</v>
      </c>
      <c r="B6" s="8" t="s">
        <v>16</v>
      </c>
      <c r="C6" s="17">
        <v>12.3446</v>
      </c>
      <c r="D6" s="9">
        <f>(99.6+100)/2</f>
        <v>99.8</v>
      </c>
      <c r="E6" s="9">
        <f>(49+42+49)/3</f>
        <v>46.666666666666664</v>
      </c>
      <c r="F6" s="10">
        <v>0.3</v>
      </c>
      <c r="G6" s="18">
        <f>(1800+1825+1848)/3</f>
        <v>1824.3333333333333</v>
      </c>
      <c r="H6" s="23">
        <f t="shared" si="0"/>
        <v>8.0845065858756051</v>
      </c>
      <c r="I6" s="24">
        <f t="shared" si="1"/>
        <v>2</v>
      </c>
      <c r="J6" s="23">
        <f t="shared" si="2"/>
        <v>0.3</v>
      </c>
      <c r="K6" s="24">
        <f t="shared" si="3"/>
        <v>2</v>
      </c>
      <c r="L6" s="31">
        <f t="shared" si="4"/>
        <v>2.5580120591997078E-2</v>
      </c>
      <c r="M6" s="24">
        <f t="shared" si="5"/>
        <v>2</v>
      </c>
      <c r="N6" s="42">
        <f t="shared" si="6"/>
        <v>2</v>
      </c>
      <c r="O6" s="43">
        <f t="shared" si="7"/>
        <v>3</v>
      </c>
      <c r="P6" s="16">
        <v>2</v>
      </c>
      <c r="Q6" s="33">
        <f t="shared" si="8"/>
        <v>6</v>
      </c>
      <c r="R6" s="45">
        <f t="shared" si="9"/>
        <v>3</v>
      </c>
      <c r="S6" s="48" t="s">
        <v>37</v>
      </c>
      <c r="T6" s="51" t="s">
        <v>37</v>
      </c>
      <c r="U6" s="48" t="s">
        <v>37</v>
      </c>
      <c r="V6" s="57">
        <f>R6</f>
        <v>3</v>
      </c>
      <c r="W6" s="11">
        <v>3</v>
      </c>
      <c r="X6" s="132">
        <v>6</v>
      </c>
      <c r="Y6" s="11">
        <f t="shared" si="10"/>
        <v>18</v>
      </c>
      <c r="Z6" s="134">
        <f t="shared" si="11"/>
        <v>4</v>
      </c>
      <c r="AA6" s="12"/>
      <c r="AB6" s="15"/>
    </row>
    <row r="7" spans="1:28" x14ac:dyDescent="0.25">
      <c r="A7" s="6">
        <v>6</v>
      </c>
      <c r="B7" s="8" t="s">
        <v>17</v>
      </c>
      <c r="C7" s="17">
        <v>9.9307999999999996</v>
      </c>
      <c r="D7" s="9">
        <v>102</v>
      </c>
      <c r="E7" s="9">
        <f>(28+39+41)/3</f>
        <v>36</v>
      </c>
      <c r="F7" s="10">
        <v>0.1</v>
      </c>
      <c r="G7" s="18">
        <f>(986+1098+1163)/3</f>
        <v>1082.3333333333333</v>
      </c>
      <c r="H7" s="23">
        <f t="shared" si="0"/>
        <v>10.271075844846337</v>
      </c>
      <c r="I7" s="24">
        <f t="shared" si="1"/>
        <v>2</v>
      </c>
      <c r="J7" s="23">
        <f t="shared" si="2"/>
        <v>0.1</v>
      </c>
      <c r="K7" s="24">
        <f t="shared" si="3"/>
        <v>1</v>
      </c>
      <c r="L7" s="31">
        <f t="shared" si="4"/>
        <v>3.3261472128118266E-2</v>
      </c>
      <c r="M7" s="24">
        <f t="shared" si="5"/>
        <v>2</v>
      </c>
      <c r="N7" s="42">
        <f t="shared" si="6"/>
        <v>1.7</v>
      </c>
      <c r="O7" s="43">
        <f t="shared" si="7"/>
        <v>2</v>
      </c>
      <c r="P7" s="16">
        <v>1</v>
      </c>
      <c r="Q7" s="33">
        <f t="shared" si="8"/>
        <v>2</v>
      </c>
      <c r="R7" s="45">
        <f t="shared" si="9"/>
        <v>1</v>
      </c>
      <c r="S7" s="48">
        <v>1.4</v>
      </c>
      <c r="T7" s="50">
        <f t="shared" ref="T7:T16" si="12">IF(S7&lt;1.5,1,IF(S7&lt;2.5,2,IF(S7&lt;3.3,3,4)))</f>
        <v>1</v>
      </c>
      <c r="U7" s="54">
        <f t="shared" ref="U7:U16" si="13">R7-T7</f>
        <v>0</v>
      </c>
      <c r="V7" s="56">
        <f t="shared" ref="V7:V16" si="14">IF(U7&lt;-1,1,IF(U7&lt;1,2,IF(U7=1,3,4)))</f>
        <v>2</v>
      </c>
      <c r="W7" s="11">
        <v>3</v>
      </c>
      <c r="X7" s="132">
        <v>6</v>
      </c>
      <c r="Y7" s="11">
        <f t="shared" si="10"/>
        <v>18</v>
      </c>
      <c r="Z7" s="134">
        <f t="shared" si="11"/>
        <v>4</v>
      </c>
      <c r="AA7" s="12"/>
      <c r="AB7" s="15"/>
    </row>
    <row r="8" spans="1:28" x14ac:dyDescent="0.25">
      <c r="A8" s="6">
        <v>7</v>
      </c>
      <c r="B8" s="8" t="s">
        <v>18</v>
      </c>
      <c r="C8" s="17">
        <v>8.3160000000000007</v>
      </c>
      <c r="D8" s="9">
        <v>87</v>
      </c>
      <c r="E8" s="9">
        <v>39</v>
      </c>
      <c r="F8" s="10">
        <v>0.1</v>
      </c>
      <c r="G8" s="18">
        <v>1163</v>
      </c>
      <c r="H8" s="23">
        <f t="shared" ref="H8:H27" si="15">(D8/C8)</f>
        <v>10.461760461760461</v>
      </c>
      <c r="I8" s="24">
        <f t="shared" si="1"/>
        <v>2</v>
      </c>
      <c r="J8" s="23">
        <f t="shared" si="2"/>
        <v>0.1</v>
      </c>
      <c r="K8" s="24">
        <f t="shared" si="3"/>
        <v>1</v>
      </c>
      <c r="L8" s="31">
        <f t="shared" ref="L8:L27" si="16">(E8/G8)</f>
        <v>3.3533963886500429E-2</v>
      </c>
      <c r="M8" s="24">
        <f t="shared" si="5"/>
        <v>2</v>
      </c>
      <c r="N8" s="42">
        <f t="shared" si="6"/>
        <v>1.7</v>
      </c>
      <c r="O8" s="43">
        <f t="shared" si="7"/>
        <v>2</v>
      </c>
      <c r="P8" s="16">
        <v>1</v>
      </c>
      <c r="Q8" s="33">
        <f t="shared" si="8"/>
        <v>2</v>
      </c>
      <c r="R8" s="45">
        <f t="shared" si="9"/>
        <v>1</v>
      </c>
      <c r="S8" s="48">
        <v>1.2</v>
      </c>
      <c r="T8" s="50">
        <f t="shared" si="12"/>
        <v>1</v>
      </c>
      <c r="U8" s="54">
        <f t="shared" si="13"/>
        <v>0</v>
      </c>
      <c r="V8" s="56">
        <f t="shared" si="14"/>
        <v>2</v>
      </c>
      <c r="W8" s="11">
        <v>3</v>
      </c>
      <c r="X8" s="132">
        <v>6</v>
      </c>
      <c r="Y8" s="11">
        <f t="shared" si="10"/>
        <v>18</v>
      </c>
      <c r="Z8" s="134">
        <f t="shared" si="11"/>
        <v>4</v>
      </c>
      <c r="AA8" s="12"/>
      <c r="AB8" s="15"/>
    </row>
    <row r="9" spans="1:28" x14ac:dyDescent="0.25">
      <c r="A9" s="6">
        <v>8</v>
      </c>
      <c r="B9" s="8" t="s">
        <v>19</v>
      </c>
      <c r="C9" s="17">
        <v>4.8502000000000001</v>
      </c>
      <c r="D9" s="9">
        <v>40.9</v>
      </c>
      <c r="E9" s="9">
        <f>(26+10+12)/3</f>
        <v>16</v>
      </c>
      <c r="F9" s="10">
        <f>E9/D9</f>
        <v>0.39119804400977998</v>
      </c>
      <c r="G9" s="18">
        <f>(1130+1144+1149)/3</f>
        <v>1141</v>
      </c>
      <c r="H9" s="23">
        <f t="shared" si="15"/>
        <v>8.4326419529091581</v>
      </c>
      <c r="I9" s="24">
        <f t="shared" si="1"/>
        <v>2</v>
      </c>
      <c r="J9" s="23">
        <f t="shared" si="2"/>
        <v>0.39119804400977998</v>
      </c>
      <c r="K9" s="24">
        <f t="shared" si="3"/>
        <v>2</v>
      </c>
      <c r="L9" s="31">
        <f t="shared" si="16"/>
        <v>1.4022787028921999E-2</v>
      </c>
      <c r="M9" s="24">
        <f t="shared" si="5"/>
        <v>1</v>
      </c>
      <c r="N9" s="42">
        <f t="shared" si="6"/>
        <v>1.6</v>
      </c>
      <c r="O9" s="43">
        <f t="shared" si="7"/>
        <v>2</v>
      </c>
      <c r="P9" s="16">
        <v>1</v>
      </c>
      <c r="Q9" s="33">
        <f t="shared" si="8"/>
        <v>2</v>
      </c>
      <c r="R9" s="45">
        <f t="shared" si="9"/>
        <v>1</v>
      </c>
      <c r="S9" s="48">
        <v>3</v>
      </c>
      <c r="T9" s="50">
        <f t="shared" si="12"/>
        <v>3</v>
      </c>
      <c r="U9" s="54">
        <f t="shared" si="13"/>
        <v>-2</v>
      </c>
      <c r="V9" s="55">
        <f t="shared" si="14"/>
        <v>1</v>
      </c>
      <c r="W9" s="11">
        <v>3</v>
      </c>
      <c r="X9" s="132">
        <v>6</v>
      </c>
      <c r="Y9" s="11">
        <f t="shared" si="10"/>
        <v>18</v>
      </c>
      <c r="Z9" s="134">
        <f t="shared" si="11"/>
        <v>4</v>
      </c>
      <c r="AA9" s="12"/>
      <c r="AB9" s="15"/>
    </row>
    <row r="10" spans="1:28" x14ac:dyDescent="0.25">
      <c r="A10" s="6">
        <v>9</v>
      </c>
      <c r="B10" s="8" t="s">
        <v>20</v>
      </c>
      <c r="C10" s="17">
        <v>11.48</v>
      </c>
      <c r="D10" s="9">
        <v>26.2</v>
      </c>
      <c r="E10" s="9">
        <f>(9+3+6)/3</f>
        <v>6</v>
      </c>
      <c r="F10" s="10">
        <v>0.5</v>
      </c>
      <c r="G10" s="18">
        <v>382</v>
      </c>
      <c r="H10" s="23">
        <f t="shared" si="15"/>
        <v>2.2822299651567941</v>
      </c>
      <c r="I10" s="24">
        <f t="shared" si="1"/>
        <v>1</v>
      </c>
      <c r="J10" s="23">
        <f t="shared" si="2"/>
        <v>0.5</v>
      </c>
      <c r="K10" s="24">
        <f t="shared" si="3"/>
        <v>2</v>
      </c>
      <c r="L10" s="31">
        <f t="shared" si="16"/>
        <v>1.5706806282722512E-2</v>
      </c>
      <c r="M10" s="24">
        <f t="shared" si="5"/>
        <v>2</v>
      </c>
      <c r="N10" s="42">
        <f t="shared" si="6"/>
        <v>1.7</v>
      </c>
      <c r="O10" s="43">
        <f t="shared" si="7"/>
        <v>2</v>
      </c>
      <c r="P10" s="16">
        <v>1</v>
      </c>
      <c r="Q10" s="33">
        <f t="shared" si="8"/>
        <v>2</v>
      </c>
      <c r="R10" s="45">
        <f t="shared" si="9"/>
        <v>1</v>
      </c>
      <c r="S10" s="48">
        <v>1.4</v>
      </c>
      <c r="T10" s="50">
        <f t="shared" si="12"/>
        <v>1</v>
      </c>
      <c r="U10" s="54">
        <f t="shared" si="13"/>
        <v>0</v>
      </c>
      <c r="V10" s="56">
        <f t="shared" si="14"/>
        <v>2</v>
      </c>
      <c r="W10" s="11">
        <v>3</v>
      </c>
      <c r="X10" s="132">
        <v>6</v>
      </c>
      <c r="Y10" s="11">
        <f t="shared" si="10"/>
        <v>18</v>
      </c>
      <c r="Z10" s="134">
        <f t="shared" si="11"/>
        <v>4</v>
      </c>
      <c r="AA10" s="12"/>
      <c r="AB10" s="15"/>
    </row>
    <row r="11" spans="1:28" x14ac:dyDescent="0.25">
      <c r="A11" s="6">
        <v>10</v>
      </c>
      <c r="B11" s="8" t="s">
        <v>21</v>
      </c>
      <c r="C11" s="17">
        <v>8.4289000000000005</v>
      </c>
      <c r="D11" s="9">
        <f>(91.6+95.5)/2</f>
        <v>93.55</v>
      </c>
      <c r="E11" s="9">
        <f>(6+8+6)/3</f>
        <v>6.666666666666667</v>
      </c>
      <c r="F11" s="10">
        <f>E11/D11</f>
        <v>7.1263139141279172E-2</v>
      </c>
      <c r="G11" s="18">
        <f>(1060+1064+1064)/3</f>
        <v>1062.6666666666667</v>
      </c>
      <c r="H11" s="23">
        <f t="shared" si="15"/>
        <v>11.098719880411441</v>
      </c>
      <c r="I11" s="24">
        <f t="shared" si="1"/>
        <v>2</v>
      </c>
      <c r="J11" s="23">
        <f t="shared" si="2"/>
        <v>7.1263139141279172E-2</v>
      </c>
      <c r="K11" s="24">
        <f t="shared" si="3"/>
        <v>1</v>
      </c>
      <c r="L11" s="31">
        <f t="shared" si="16"/>
        <v>6.2735257214554582E-3</v>
      </c>
      <c r="M11" s="24">
        <f t="shared" si="5"/>
        <v>1</v>
      </c>
      <c r="N11" s="42">
        <f t="shared" si="6"/>
        <v>1.2999999999999998</v>
      </c>
      <c r="O11" s="43">
        <f t="shared" si="7"/>
        <v>1</v>
      </c>
      <c r="P11" s="16">
        <v>1</v>
      </c>
      <c r="Q11" s="33">
        <f t="shared" si="8"/>
        <v>1</v>
      </c>
      <c r="R11" s="45">
        <f t="shared" si="9"/>
        <v>1</v>
      </c>
      <c r="S11" s="48">
        <v>2.2000000000000002</v>
      </c>
      <c r="T11" s="50">
        <f t="shared" si="12"/>
        <v>2</v>
      </c>
      <c r="U11" s="54">
        <f t="shared" si="13"/>
        <v>-1</v>
      </c>
      <c r="V11" s="55">
        <f t="shared" si="14"/>
        <v>2</v>
      </c>
      <c r="W11" s="11">
        <v>3</v>
      </c>
      <c r="X11" s="132">
        <v>6</v>
      </c>
      <c r="Y11" s="11">
        <f t="shared" si="10"/>
        <v>18</v>
      </c>
      <c r="Z11" s="134">
        <f t="shared" si="11"/>
        <v>4</v>
      </c>
      <c r="AA11" s="12"/>
      <c r="AB11" s="15"/>
    </row>
    <row r="12" spans="1:28" x14ac:dyDescent="0.25">
      <c r="A12" s="6">
        <v>11</v>
      </c>
      <c r="B12" s="8" t="s">
        <v>22</v>
      </c>
      <c r="C12" s="17">
        <v>11.5077</v>
      </c>
      <c r="D12" s="9">
        <v>34.9</v>
      </c>
      <c r="E12" s="9">
        <f>(7+4)/2</f>
        <v>5.5</v>
      </c>
      <c r="F12" s="10">
        <f>E12/D12</f>
        <v>0.15759312320916907</v>
      </c>
      <c r="G12" s="18">
        <f>(600+608+741)/3</f>
        <v>649.66666666666663</v>
      </c>
      <c r="H12" s="23">
        <f t="shared" si="15"/>
        <v>3.0327519834545567</v>
      </c>
      <c r="I12" s="24">
        <f t="shared" si="1"/>
        <v>1</v>
      </c>
      <c r="J12" s="23">
        <f t="shared" si="2"/>
        <v>0.15759312320916907</v>
      </c>
      <c r="K12" s="24">
        <f t="shared" si="3"/>
        <v>1</v>
      </c>
      <c r="L12" s="31">
        <f t="shared" si="16"/>
        <v>8.4658799384299648E-3</v>
      </c>
      <c r="M12" s="24">
        <f t="shared" si="5"/>
        <v>1</v>
      </c>
      <c r="N12" s="42">
        <f t="shared" si="6"/>
        <v>1</v>
      </c>
      <c r="O12" s="43">
        <f t="shared" si="7"/>
        <v>1</v>
      </c>
      <c r="P12" s="16">
        <v>3</v>
      </c>
      <c r="Q12" s="33">
        <f t="shared" si="8"/>
        <v>3</v>
      </c>
      <c r="R12" s="45">
        <f t="shared" si="9"/>
        <v>2</v>
      </c>
      <c r="S12" s="48">
        <v>2.6</v>
      </c>
      <c r="T12" s="50">
        <f t="shared" si="12"/>
        <v>3</v>
      </c>
      <c r="U12" s="54">
        <f t="shared" si="13"/>
        <v>-1</v>
      </c>
      <c r="V12" s="56">
        <f t="shared" si="14"/>
        <v>2</v>
      </c>
      <c r="W12" s="11">
        <v>3</v>
      </c>
      <c r="X12" s="132">
        <v>6</v>
      </c>
      <c r="Y12" s="11">
        <f t="shared" si="10"/>
        <v>18</v>
      </c>
      <c r="Z12" s="134">
        <f t="shared" si="11"/>
        <v>4</v>
      </c>
      <c r="AA12" s="12"/>
      <c r="AB12" s="15"/>
    </row>
    <row r="13" spans="1:28" x14ac:dyDescent="0.25">
      <c r="A13" s="6">
        <v>12</v>
      </c>
      <c r="B13" s="8" t="s">
        <v>42</v>
      </c>
      <c r="C13" s="17">
        <v>7.4941999999999993</v>
      </c>
      <c r="D13" s="9">
        <v>151.69999999999999</v>
      </c>
      <c r="E13" s="9">
        <f>(82+93+47)/3</f>
        <v>74</v>
      </c>
      <c r="F13" s="10">
        <v>1.3</v>
      </c>
      <c r="G13" s="18">
        <f>(1493+1538+1554)/3</f>
        <v>1528.3333333333333</v>
      </c>
      <c r="H13" s="23">
        <f t="shared" si="15"/>
        <v>20.242320728029675</v>
      </c>
      <c r="I13" s="24">
        <f t="shared" si="1"/>
        <v>3</v>
      </c>
      <c r="J13" s="23">
        <f t="shared" si="2"/>
        <v>1.3</v>
      </c>
      <c r="K13" s="24">
        <f t="shared" si="3"/>
        <v>3</v>
      </c>
      <c r="L13" s="31">
        <f t="shared" si="16"/>
        <v>4.841875681570338E-2</v>
      </c>
      <c r="M13" s="24">
        <f t="shared" si="5"/>
        <v>3</v>
      </c>
      <c r="N13" s="42">
        <f t="shared" si="6"/>
        <v>3</v>
      </c>
      <c r="O13" s="43">
        <f t="shared" si="7"/>
        <v>3</v>
      </c>
      <c r="P13" s="16">
        <v>3</v>
      </c>
      <c r="Q13" s="33">
        <f t="shared" si="8"/>
        <v>9</v>
      </c>
      <c r="R13" s="45">
        <f t="shared" si="9"/>
        <v>3</v>
      </c>
      <c r="S13" s="48">
        <v>1.4</v>
      </c>
      <c r="T13" s="50">
        <f t="shared" si="12"/>
        <v>1</v>
      </c>
      <c r="U13" s="54">
        <f t="shared" si="13"/>
        <v>2</v>
      </c>
      <c r="V13" s="57">
        <f t="shared" si="14"/>
        <v>4</v>
      </c>
      <c r="W13" s="11">
        <v>3</v>
      </c>
      <c r="X13" s="132">
        <v>6</v>
      </c>
      <c r="Y13" s="11">
        <f t="shared" si="10"/>
        <v>18</v>
      </c>
      <c r="Z13" s="134">
        <f t="shared" si="11"/>
        <v>4</v>
      </c>
      <c r="AA13" s="12"/>
      <c r="AB13" s="15"/>
    </row>
    <row r="14" spans="1:28" x14ac:dyDescent="0.25">
      <c r="A14" s="6">
        <v>13</v>
      </c>
      <c r="B14" s="8" t="s">
        <v>23</v>
      </c>
      <c r="C14" s="17">
        <v>4.7988999999999997</v>
      </c>
      <c r="D14" s="9">
        <v>46.2</v>
      </c>
      <c r="E14" s="9">
        <f>(8+7+24)/3</f>
        <v>13</v>
      </c>
      <c r="F14" s="10">
        <v>1</v>
      </c>
      <c r="G14" s="18">
        <f>(1039+1045+1051)/3</f>
        <v>1045</v>
      </c>
      <c r="H14" s="23">
        <f t="shared" si="15"/>
        <v>9.6272062347621343</v>
      </c>
      <c r="I14" s="24">
        <f t="shared" si="1"/>
        <v>2</v>
      </c>
      <c r="J14" s="23">
        <f t="shared" si="2"/>
        <v>1</v>
      </c>
      <c r="K14" s="24">
        <f t="shared" si="3"/>
        <v>3</v>
      </c>
      <c r="L14" s="31">
        <f t="shared" si="16"/>
        <v>1.2440191387559809E-2</v>
      </c>
      <c r="M14" s="24">
        <f t="shared" si="5"/>
        <v>1</v>
      </c>
      <c r="N14" s="42">
        <f t="shared" si="6"/>
        <v>1.9</v>
      </c>
      <c r="O14" s="43">
        <f t="shared" si="7"/>
        <v>2</v>
      </c>
      <c r="P14" s="16">
        <v>1</v>
      </c>
      <c r="Q14" s="33">
        <f t="shared" si="8"/>
        <v>2</v>
      </c>
      <c r="R14" s="45">
        <f t="shared" si="9"/>
        <v>1</v>
      </c>
      <c r="S14" s="48">
        <v>1.8</v>
      </c>
      <c r="T14" s="50">
        <f t="shared" si="12"/>
        <v>2</v>
      </c>
      <c r="U14" s="54">
        <f t="shared" si="13"/>
        <v>-1</v>
      </c>
      <c r="V14" s="56">
        <f t="shared" si="14"/>
        <v>2</v>
      </c>
      <c r="W14" s="11">
        <v>3</v>
      </c>
      <c r="X14" s="132">
        <v>6</v>
      </c>
      <c r="Y14" s="11">
        <f t="shared" si="10"/>
        <v>18</v>
      </c>
      <c r="Z14" s="134">
        <f t="shared" si="11"/>
        <v>4</v>
      </c>
      <c r="AA14" s="12"/>
      <c r="AB14" s="15"/>
    </row>
    <row r="15" spans="1:28" x14ac:dyDescent="0.25">
      <c r="A15" s="6">
        <v>14</v>
      </c>
      <c r="B15" s="8" t="s">
        <v>24</v>
      </c>
      <c r="C15" s="17">
        <v>10.325699999999999</v>
      </c>
      <c r="D15" s="9">
        <f>(91.4+99.2)/2</f>
        <v>95.300000000000011</v>
      </c>
      <c r="E15" s="9">
        <f>(27+25+33)/3</f>
        <v>28.333333333333332</v>
      </c>
      <c r="F15" s="10">
        <v>0.1</v>
      </c>
      <c r="G15" s="18">
        <f>(1724+1783+1783)/3</f>
        <v>1763.3333333333333</v>
      </c>
      <c r="H15" s="23">
        <f t="shared" si="15"/>
        <v>9.2293984911434599</v>
      </c>
      <c r="I15" s="24">
        <f t="shared" si="1"/>
        <v>2</v>
      </c>
      <c r="J15" s="23">
        <f t="shared" si="2"/>
        <v>0.1</v>
      </c>
      <c r="K15" s="24">
        <f t="shared" si="3"/>
        <v>1</v>
      </c>
      <c r="L15" s="31">
        <f t="shared" si="16"/>
        <v>1.6068052930056712E-2</v>
      </c>
      <c r="M15" s="24">
        <f t="shared" si="5"/>
        <v>2</v>
      </c>
      <c r="N15" s="42">
        <f t="shared" si="6"/>
        <v>1.7</v>
      </c>
      <c r="O15" s="43">
        <f t="shared" si="7"/>
        <v>2</v>
      </c>
      <c r="P15" s="16">
        <v>1</v>
      </c>
      <c r="Q15" s="33">
        <f t="shared" si="8"/>
        <v>2</v>
      </c>
      <c r="R15" s="45">
        <f t="shared" si="9"/>
        <v>1</v>
      </c>
      <c r="S15" s="48">
        <v>1.6</v>
      </c>
      <c r="T15" s="50">
        <f t="shared" si="12"/>
        <v>2</v>
      </c>
      <c r="U15" s="54">
        <f t="shared" si="13"/>
        <v>-1</v>
      </c>
      <c r="V15" s="56">
        <f t="shared" si="14"/>
        <v>2</v>
      </c>
      <c r="W15" s="11">
        <v>3</v>
      </c>
      <c r="X15" s="132">
        <v>6</v>
      </c>
      <c r="Y15" s="11">
        <f t="shared" si="10"/>
        <v>18</v>
      </c>
      <c r="Z15" s="134">
        <f t="shared" si="11"/>
        <v>4</v>
      </c>
      <c r="AA15" s="12"/>
      <c r="AB15" s="15"/>
    </row>
    <row r="16" spans="1:28" x14ac:dyDescent="0.25">
      <c r="A16" s="6">
        <v>15</v>
      </c>
      <c r="B16" s="8" t="s">
        <v>25</v>
      </c>
      <c r="C16" s="17">
        <v>7.9854999999999992</v>
      </c>
      <c r="D16" s="9">
        <v>51.1</v>
      </c>
      <c r="E16" s="9">
        <f>(4+9+5)/3</f>
        <v>6</v>
      </c>
      <c r="F16" s="10">
        <v>0.1</v>
      </c>
      <c r="G16" s="18">
        <f>(974+981+1000)/3</f>
        <v>985</v>
      </c>
      <c r="H16" s="23">
        <f t="shared" si="15"/>
        <v>6.3990983657879914</v>
      </c>
      <c r="I16" s="24">
        <f t="shared" si="1"/>
        <v>1</v>
      </c>
      <c r="J16" s="23">
        <f t="shared" si="2"/>
        <v>0.1</v>
      </c>
      <c r="K16" s="24">
        <f t="shared" si="3"/>
        <v>1</v>
      </c>
      <c r="L16" s="31">
        <f t="shared" si="16"/>
        <v>6.0913705583756344E-3</v>
      </c>
      <c r="M16" s="24">
        <f t="shared" si="5"/>
        <v>1</v>
      </c>
      <c r="N16" s="42">
        <f t="shared" si="6"/>
        <v>1</v>
      </c>
      <c r="O16" s="43">
        <f t="shared" si="7"/>
        <v>1</v>
      </c>
      <c r="P16" s="16">
        <v>2</v>
      </c>
      <c r="Q16" s="33">
        <f t="shared" si="8"/>
        <v>2</v>
      </c>
      <c r="R16" s="45">
        <f t="shared" si="9"/>
        <v>1</v>
      </c>
      <c r="S16" s="49">
        <v>1.6</v>
      </c>
      <c r="T16" s="50">
        <f t="shared" si="12"/>
        <v>2</v>
      </c>
      <c r="U16" s="54">
        <f t="shared" si="13"/>
        <v>-1</v>
      </c>
      <c r="V16" s="56">
        <f t="shared" si="14"/>
        <v>2</v>
      </c>
      <c r="W16" s="11">
        <v>3</v>
      </c>
      <c r="X16" s="132">
        <v>6</v>
      </c>
      <c r="Y16" s="11">
        <f t="shared" si="10"/>
        <v>18</v>
      </c>
      <c r="Z16" s="134">
        <f t="shared" si="11"/>
        <v>4</v>
      </c>
      <c r="AA16" s="12"/>
      <c r="AB16" s="15"/>
    </row>
    <row r="17" spans="1:28" x14ac:dyDescent="0.25">
      <c r="A17" s="6">
        <v>16</v>
      </c>
      <c r="B17" s="8" t="s">
        <v>26</v>
      </c>
      <c r="C17" s="17">
        <v>12.9291</v>
      </c>
      <c r="D17" s="9">
        <v>41.1</v>
      </c>
      <c r="E17" s="9">
        <f>(14+9+8)/3</f>
        <v>10.333333333333334</v>
      </c>
      <c r="F17" s="10">
        <v>0.8</v>
      </c>
      <c r="G17" s="18">
        <f>(579+579+612)/3</f>
        <v>590</v>
      </c>
      <c r="H17" s="23">
        <f t="shared" si="15"/>
        <v>3.1788755597837439</v>
      </c>
      <c r="I17" s="24">
        <f t="shared" si="1"/>
        <v>1</v>
      </c>
      <c r="J17" s="23">
        <f t="shared" si="2"/>
        <v>0.8</v>
      </c>
      <c r="K17" s="24">
        <f t="shared" si="3"/>
        <v>2</v>
      </c>
      <c r="L17" s="31">
        <f t="shared" si="16"/>
        <v>1.7514124293785311E-2</v>
      </c>
      <c r="M17" s="24">
        <f t="shared" si="5"/>
        <v>2</v>
      </c>
      <c r="N17" s="42">
        <f t="shared" si="6"/>
        <v>1.7</v>
      </c>
      <c r="O17" s="43">
        <f t="shared" si="7"/>
        <v>2</v>
      </c>
      <c r="P17" s="16">
        <v>3</v>
      </c>
      <c r="Q17" s="33">
        <f t="shared" si="8"/>
        <v>6</v>
      </c>
      <c r="R17" s="45">
        <f t="shared" ref="R17:R27" si="17">IF(Q17&lt;3,1,IF(Q17&lt;5,2,IF(Q17&lt;12,3,4)))</f>
        <v>3</v>
      </c>
      <c r="S17" s="48">
        <v>1.4</v>
      </c>
      <c r="T17" s="50">
        <f t="shared" ref="T17:T27" si="18">IF(S17&lt;1.5,1,IF(S17&lt;2.5,2,IF(S17&lt;3.3,3,4)))</f>
        <v>1</v>
      </c>
      <c r="U17" s="54">
        <f t="shared" ref="U17:U27" si="19">R17-T17</f>
        <v>2</v>
      </c>
      <c r="V17" s="57">
        <f t="shared" ref="V17:V27" si="20">IF(U17&lt;-1,1,IF(U17&lt;1,2,IF(U17=1,3,4)))</f>
        <v>4</v>
      </c>
      <c r="W17" s="11">
        <v>3</v>
      </c>
      <c r="X17" s="132">
        <v>6</v>
      </c>
      <c r="Y17" s="11">
        <f t="shared" si="10"/>
        <v>18</v>
      </c>
      <c r="Z17" s="134">
        <f t="shared" si="11"/>
        <v>4</v>
      </c>
      <c r="AA17" s="12"/>
      <c r="AB17" s="15"/>
    </row>
    <row r="18" spans="1:28" x14ac:dyDescent="0.25">
      <c r="A18" s="6">
        <v>17</v>
      </c>
      <c r="B18" s="8" t="s">
        <v>27</v>
      </c>
      <c r="C18" s="17">
        <v>13.503699999999998</v>
      </c>
      <c r="D18" s="9">
        <v>30.9</v>
      </c>
      <c r="E18" s="9">
        <f>(30+8+18)/3</f>
        <v>18.666666666666668</v>
      </c>
      <c r="F18" s="10">
        <f>E18/D18</f>
        <v>0.60409924487594402</v>
      </c>
      <c r="G18" s="18">
        <f>(685+686+690)/3</f>
        <v>687</v>
      </c>
      <c r="H18" s="23">
        <f t="shared" si="15"/>
        <v>2.2882617356724455</v>
      </c>
      <c r="I18" s="24">
        <f t="shared" si="1"/>
        <v>1</v>
      </c>
      <c r="J18" s="23">
        <f t="shared" si="2"/>
        <v>0.60409924487594402</v>
      </c>
      <c r="K18" s="24">
        <f t="shared" si="3"/>
        <v>2</v>
      </c>
      <c r="L18" s="31">
        <f t="shared" si="16"/>
        <v>2.7171276079573023E-2</v>
      </c>
      <c r="M18" s="24">
        <f t="shared" si="5"/>
        <v>2</v>
      </c>
      <c r="N18" s="42">
        <f t="shared" si="6"/>
        <v>1.7</v>
      </c>
      <c r="O18" s="43">
        <f t="shared" si="7"/>
        <v>2</v>
      </c>
      <c r="P18" s="16">
        <v>3</v>
      </c>
      <c r="Q18" s="33">
        <f t="shared" si="8"/>
        <v>6</v>
      </c>
      <c r="R18" s="45">
        <f t="shared" si="17"/>
        <v>3</v>
      </c>
      <c r="S18" s="48">
        <v>2.2000000000000002</v>
      </c>
      <c r="T18" s="50">
        <f t="shared" si="18"/>
        <v>2</v>
      </c>
      <c r="U18" s="54">
        <f t="shared" si="19"/>
        <v>1</v>
      </c>
      <c r="V18" s="57">
        <f t="shared" si="20"/>
        <v>3</v>
      </c>
      <c r="W18" s="11">
        <v>3</v>
      </c>
      <c r="X18" s="132">
        <v>6</v>
      </c>
      <c r="Y18" s="11">
        <f t="shared" si="10"/>
        <v>18</v>
      </c>
      <c r="Z18" s="134">
        <f t="shared" si="11"/>
        <v>4</v>
      </c>
      <c r="AA18" s="12"/>
      <c r="AB18" s="15"/>
    </row>
    <row r="19" spans="1:28" x14ac:dyDescent="0.25">
      <c r="A19" s="6">
        <v>18</v>
      </c>
      <c r="B19" s="8" t="s">
        <v>28</v>
      </c>
      <c r="C19" s="17">
        <v>8.4147999999999996</v>
      </c>
      <c r="D19" s="9">
        <v>99.45</v>
      </c>
      <c r="E19" s="9">
        <f>(8+8+11)/3</f>
        <v>9</v>
      </c>
      <c r="F19" s="10">
        <f>E19/D19</f>
        <v>9.0497737556561084E-2</v>
      </c>
      <c r="G19" s="18">
        <f>(1674+1699+1708)/3</f>
        <v>1693.6666666666667</v>
      </c>
      <c r="H19" s="23">
        <f t="shared" si="15"/>
        <v>11.818462708561107</v>
      </c>
      <c r="I19" s="24">
        <f t="shared" si="1"/>
        <v>2</v>
      </c>
      <c r="J19" s="23">
        <f t="shared" si="2"/>
        <v>9.0497737556561084E-2</v>
      </c>
      <c r="K19" s="24">
        <f t="shared" si="3"/>
        <v>1</v>
      </c>
      <c r="L19" s="31">
        <f t="shared" si="16"/>
        <v>5.3139145837433578E-3</v>
      </c>
      <c r="M19" s="24">
        <f t="shared" si="5"/>
        <v>1</v>
      </c>
      <c r="N19" s="42">
        <f t="shared" si="6"/>
        <v>1.2999999999999998</v>
      </c>
      <c r="O19" s="43">
        <f t="shared" si="7"/>
        <v>1</v>
      </c>
      <c r="P19" s="16">
        <v>2</v>
      </c>
      <c r="Q19" s="33">
        <f t="shared" si="8"/>
        <v>2</v>
      </c>
      <c r="R19" s="45">
        <f t="shared" si="17"/>
        <v>1</v>
      </c>
      <c r="S19" s="48">
        <v>1.2</v>
      </c>
      <c r="T19" s="50">
        <f t="shared" si="18"/>
        <v>1</v>
      </c>
      <c r="U19" s="54">
        <f t="shared" si="19"/>
        <v>0</v>
      </c>
      <c r="V19" s="56">
        <f t="shared" si="20"/>
        <v>2</v>
      </c>
      <c r="W19" s="11">
        <v>3</v>
      </c>
      <c r="X19" s="132">
        <v>6</v>
      </c>
      <c r="Y19" s="11">
        <f t="shared" si="10"/>
        <v>18</v>
      </c>
      <c r="Z19" s="134">
        <f t="shared" si="11"/>
        <v>4</v>
      </c>
      <c r="AA19" s="12"/>
      <c r="AB19" s="15"/>
    </row>
    <row r="20" spans="1:28" x14ac:dyDescent="0.25">
      <c r="A20" s="6">
        <v>19</v>
      </c>
      <c r="B20" s="8" t="s">
        <v>29</v>
      </c>
      <c r="C20" s="17">
        <v>9.6488999999999994</v>
      </c>
      <c r="D20" s="9">
        <v>96.8</v>
      </c>
      <c r="E20" s="9">
        <f>(34+34+21)/3</f>
        <v>29.666666666666668</v>
      </c>
      <c r="F20" s="10">
        <f>E20/D20</f>
        <v>0.30647382920110194</v>
      </c>
      <c r="G20" s="18">
        <f>(994+1005+1058)/3</f>
        <v>1019</v>
      </c>
      <c r="H20" s="23">
        <f t="shared" si="15"/>
        <v>10.032231653349086</v>
      </c>
      <c r="I20" s="24">
        <f t="shared" si="1"/>
        <v>2</v>
      </c>
      <c r="J20" s="23">
        <f t="shared" si="2"/>
        <v>0.30647382920110194</v>
      </c>
      <c r="K20" s="24">
        <f t="shared" si="3"/>
        <v>2</v>
      </c>
      <c r="L20" s="31">
        <f t="shared" si="16"/>
        <v>2.9113509977101736E-2</v>
      </c>
      <c r="M20" s="24">
        <f t="shared" si="5"/>
        <v>2</v>
      </c>
      <c r="N20" s="42">
        <f t="shared" si="6"/>
        <v>2</v>
      </c>
      <c r="O20" s="43">
        <f t="shared" si="7"/>
        <v>3</v>
      </c>
      <c r="P20" s="16">
        <v>2</v>
      </c>
      <c r="Q20" s="33">
        <f t="shared" si="8"/>
        <v>6</v>
      </c>
      <c r="R20" s="45">
        <f t="shared" si="17"/>
        <v>3</v>
      </c>
      <c r="S20" s="48">
        <v>1.8</v>
      </c>
      <c r="T20" s="50">
        <f t="shared" si="18"/>
        <v>2</v>
      </c>
      <c r="U20" s="54">
        <f t="shared" si="19"/>
        <v>1</v>
      </c>
      <c r="V20" s="56">
        <f t="shared" si="20"/>
        <v>3</v>
      </c>
      <c r="W20" s="11">
        <v>3</v>
      </c>
      <c r="X20" s="132">
        <v>6</v>
      </c>
      <c r="Y20" s="11">
        <f t="shared" si="10"/>
        <v>18</v>
      </c>
      <c r="Z20" s="134">
        <f t="shared" si="11"/>
        <v>4</v>
      </c>
      <c r="AA20" s="12"/>
      <c r="AB20" s="15"/>
    </row>
    <row r="21" spans="1:28" x14ac:dyDescent="0.25">
      <c r="A21" s="6">
        <v>20</v>
      </c>
      <c r="B21" s="8" t="s">
        <v>30</v>
      </c>
      <c r="C21" s="17">
        <v>5.9207000000000001</v>
      </c>
      <c r="D21" s="9">
        <v>110.2</v>
      </c>
      <c r="E21" s="9">
        <f>(13+13+10)/3</f>
        <v>12</v>
      </c>
      <c r="F21" s="10">
        <v>0.1</v>
      </c>
      <c r="G21" s="18">
        <f>(587+587+626)/3</f>
        <v>600</v>
      </c>
      <c r="H21" s="23">
        <f t="shared" si="15"/>
        <v>18.612664043103013</v>
      </c>
      <c r="I21" s="24">
        <f t="shared" si="1"/>
        <v>3</v>
      </c>
      <c r="J21" s="23">
        <f t="shared" si="2"/>
        <v>0.1</v>
      </c>
      <c r="K21" s="24">
        <f t="shared" si="3"/>
        <v>1</v>
      </c>
      <c r="L21" s="31">
        <f t="shared" si="16"/>
        <v>0.02</v>
      </c>
      <c r="M21" s="24">
        <f t="shared" si="5"/>
        <v>2</v>
      </c>
      <c r="N21" s="42">
        <f t="shared" si="6"/>
        <v>2</v>
      </c>
      <c r="O21" s="43">
        <f t="shared" si="7"/>
        <v>3</v>
      </c>
      <c r="P21" s="16">
        <v>2</v>
      </c>
      <c r="Q21" s="33">
        <f t="shared" si="8"/>
        <v>6</v>
      </c>
      <c r="R21" s="45">
        <f t="shared" si="17"/>
        <v>3</v>
      </c>
      <c r="S21" s="48">
        <v>2</v>
      </c>
      <c r="T21" s="50">
        <f t="shared" si="18"/>
        <v>2</v>
      </c>
      <c r="U21" s="54">
        <f t="shared" si="19"/>
        <v>1</v>
      </c>
      <c r="V21" s="57">
        <f t="shared" si="20"/>
        <v>3</v>
      </c>
      <c r="W21" s="11">
        <v>3</v>
      </c>
      <c r="X21" s="132">
        <v>6</v>
      </c>
      <c r="Y21" s="11">
        <f t="shared" si="10"/>
        <v>18</v>
      </c>
      <c r="Z21" s="134">
        <f t="shared" si="11"/>
        <v>4</v>
      </c>
      <c r="AA21" s="12"/>
      <c r="AB21" s="15"/>
    </row>
    <row r="22" spans="1:28" x14ac:dyDescent="0.25">
      <c r="A22" s="6">
        <v>21</v>
      </c>
      <c r="B22" s="8" t="s">
        <v>31</v>
      </c>
      <c r="C22" s="17">
        <v>9.6622000000000003</v>
      </c>
      <c r="D22" s="9">
        <v>41.4</v>
      </c>
      <c r="E22" s="9">
        <f>(1+3+4)/3</f>
        <v>2.6666666666666665</v>
      </c>
      <c r="F22" s="10">
        <v>0.1</v>
      </c>
      <c r="G22" s="18">
        <f>(401+510+541)/3</f>
        <v>484</v>
      </c>
      <c r="H22" s="23">
        <f t="shared" si="15"/>
        <v>4.2847384653598555</v>
      </c>
      <c r="I22" s="24">
        <f t="shared" si="1"/>
        <v>1</v>
      </c>
      <c r="J22" s="23">
        <f t="shared" si="2"/>
        <v>0.1</v>
      </c>
      <c r="K22" s="24">
        <f t="shared" si="3"/>
        <v>1</v>
      </c>
      <c r="L22" s="31">
        <f t="shared" si="16"/>
        <v>5.5096418732782362E-3</v>
      </c>
      <c r="M22" s="24">
        <f t="shared" si="5"/>
        <v>1</v>
      </c>
      <c r="N22" s="42">
        <f t="shared" si="6"/>
        <v>1</v>
      </c>
      <c r="O22" s="43">
        <f t="shared" si="7"/>
        <v>1</v>
      </c>
      <c r="P22" s="16">
        <v>1</v>
      </c>
      <c r="Q22" s="33">
        <f t="shared" si="8"/>
        <v>1</v>
      </c>
      <c r="R22" s="45">
        <f t="shared" si="17"/>
        <v>1</v>
      </c>
      <c r="S22" s="48">
        <v>2</v>
      </c>
      <c r="T22" s="50">
        <f t="shared" si="18"/>
        <v>2</v>
      </c>
      <c r="U22" s="54">
        <f t="shared" si="19"/>
        <v>-1</v>
      </c>
      <c r="V22" s="56">
        <f t="shared" si="20"/>
        <v>2</v>
      </c>
      <c r="W22" s="11">
        <v>3</v>
      </c>
      <c r="X22" s="132">
        <v>6</v>
      </c>
      <c r="Y22" s="11">
        <f t="shared" si="10"/>
        <v>18</v>
      </c>
      <c r="Z22" s="134">
        <f t="shared" si="11"/>
        <v>4</v>
      </c>
      <c r="AA22" s="12"/>
      <c r="AB22" s="15"/>
    </row>
    <row r="23" spans="1:28" x14ac:dyDescent="0.25">
      <c r="A23" s="6">
        <v>22</v>
      </c>
      <c r="B23" s="8" t="s">
        <v>32</v>
      </c>
      <c r="C23" s="17">
        <v>31.976300000000002</v>
      </c>
      <c r="D23" s="9">
        <f>(363.9+396.1)/2</f>
        <v>380</v>
      </c>
      <c r="E23" s="9">
        <f>(319+304+330)/3</f>
        <v>317.66666666666669</v>
      </c>
      <c r="F23" s="10">
        <v>1.3</v>
      </c>
      <c r="G23" s="18">
        <f>(7915+8062+7853)/3</f>
        <v>7943.333333333333</v>
      </c>
      <c r="H23" s="23">
        <f t="shared" si="15"/>
        <v>11.883801440441827</v>
      </c>
      <c r="I23" s="24">
        <f t="shared" si="1"/>
        <v>2</v>
      </c>
      <c r="J23" s="23">
        <f t="shared" si="2"/>
        <v>1.3</v>
      </c>
      <c r="K23" s="24">
        <f t="shared" si="3"/>
        <v>3</v>
      </c>
      <c r="L23" s="31">
        <f t="shared" si="16"/>
        <v>3.9991607217792699E-2</v>
      </c>
      <c r="M23" s="24">
        <f t="shared" si="5"/>
        <v>3</v>
      </c>
      <c r="N23" s="42">
        <f t="shared" si="6"/>
        <v>2.7</v>
      </c>
      <c r="O23" s="43">
        <f t="shared" si="7"/>
        <v>3</v>
      </c>
      <c r="P23" s="16">
        <v>4</v>
      </c>
      <c r="Q23" s="33">
        <f t="shared" si="8"/>
        <v>12</v>
      </c>
      <c r="R23" s="45">
        <f t="shared" si="17"/>
        <v>4</v>
      </c>
      <c r="S23" s="48">
        <v>2.6</v>
      </c>
      <c r="T23" s="50">
        <f t="shared" si="18"/>
        <v>3</v>
      </c>
      <c r="U23" s="54">
        <f t="shared" si="19"/>
        <v>1</v>
      </c>
      <c r="V23" s="57">
        <f t="shared" si="20"/>
        <v>3</v>
      </c>
      <c r="W23" s="11">
        <v>3</v>
      </c>
      <c r="X23" s="132">
        <v>6</v>
      </c>
      <c r="Y23" s="11">
        <f t="shared" si="10"/>
        <v>18</v>
      </c>
      <c r="Z23" s="134">
        <f t="shared" si="11"/>
        <v>4</v>
      </c>
      <c r="AA23" s="12"/>
      <c r="AB23" s="15"/>
    </row>
    <row r="24" spans="1:28" x14ac:dyDescent="0.25">
      <c r="A24" s="6">
        <v>23</v>
      </c>
      <c r="B24" s="8" t="s">
        <v>33</v>
      </c>
      <c r="C24" s="17">
        <v>10.990699999999999</v>
      </c>
      <c r="D24" s="9">
        <v>73.2</v>
      </c>
      <c r="E24" s="9">
        <f>(15+14+20)/3</f>
        <v>16.333333333333332</v>
      </c>
      <c r="F24" s="10">
        <v>3.9</v>
      </c>
      <c r="G24" s="18">
        <f>(1358+1400+1433)/3</f>
        <v>1397</v>
      </c>
      <c r="H24" s="23">
        <f t="shared" si="15"/>
        <v>6.6601763308979418</v>
      </c>
      <c r="I24" s="24">
        <f t="shared" si="1"/>
        <v>1</v>
      </c>
      <c r="J24" s="23">
        <f t="shared" si="2"/>
        <v>3.9</v>
      </c>
      <c r="K24" s="24">
        <f t="shared" si="3"/>
        <v>3</v>
      </c>
      <c r="L24" s="31">
        <f t="shared" si="16"/>
        <v>1.1691720353137675E-2</v>
      </c>
      <c r="M24" s="24">
        <f t="shared" si="5"/>
        <v>1</v>
      </c>
      <c r="N24" s="42">
        <f t="shared" si="6"/>
        <v>1.6</v>
      </c>
      <c r="O24" s="43">
        <f t="shared" si="7"/>
        <v>2</v>
      </c>
      <c r="P24" s="16">
        <v>4</v>
      </c>
      <c r="Q24" s="33">
        <f t="shared" si="8"/>
        <v>8</v>
      </c>
      <c r="R24" s="45">
        <f t="shared" si="17"/>
        <v>3</v>
      </c>
      <c r="S24" s="48">
        <v>1.4</v>
      </c>
      <c r="T24" s="50">
        <f t="shared" si="18"/>
        <v>1</v>
      </c>
      <c r="U24" s="54">
        <f t="shared" si="19"/>
        <v>2</v>
      </c>
      <c r="V24" s="57">
        <f t="shared" si="20"/>
        <v>4</v>
      </c>
      <c r="W24" s="11">
        <v>3</v>
      </c>
      <c r="X24" s="132">
        <v>6</v>
      </c>
      <c r="Y24" s="11">
        <f t="shared" si="10"/>
        <v>18</v>
      </c>
      <c r="Z24" s="134">
        <f t="shared" si="11"/>
        <v>4</v>
      </c>
      <c r="AA24" s="12"/>
      <c r="AB24" s="15"/>
    </row>
    <row r="25" spans="1:28" x14ac:dyDescent="0.25">
      <c r="A25" s="6">
        <v>24</v>
      </c>
      <c r="B25" s="8" t="s">
        <v>34</v>
      </c>
      <c r="C25" s="17">
        <v>6.5888999999999998</v>
      </c>
      <c r="D25" s="9">
        <v>22.5</v>
      </c>
      <c r="E25" s="9">
        <f>(20+10+5)/3</f>
        <v>11.666666666666666</v>
      </c>
      <c r="F25" s="10">
        <v>0.4</v>
      </c>
      <c r="G25" s="18">
        <f>(311+375+375)/3</f>
        <v>353.66666666666669</v>
      </c>
      <c r="H25" s="23">
        <f t="shared" si="15"/>
        <v>3.4148340390657017</v>
      </c>
      <c r="I25" s="24">
        <f t="shared" si="1"/>
        <v>1</v>
      </c>
      <c r="J25" s="23">
        <f t="shared" si="2"/>
        <v>0.4</v>
      </c>
      <c r="K25" s="24">
        <f t="shared" si="3"/>
        <v>2</v>
      </c>
      <c r="L25" s="31">
        <f t="shared" si="16"/>
        <v>3.2987747408105554E-2</v>
      </c>
      <c r="M25" s="24">
        <f t="shared" si="5"/>
        <v>2</v>
      </c>
      <c r="N25" s="42">
        <f t="shared" si="6"/>
        <v>1.7</v>
      </c>
      <c r="O25" s="43">
        <f t="shared" si="7"/>
        <v>2</v>
      </c>
      <c r="P25" s="16">
        <v>4</v>
      </c>
      <c r="Q25" s="33">
        <f t="shared" si="8"/>
        <v>8</v>
      </c>
      <c r="R25" s="45">
        <f t="shared" si="17"/>
        <v>3</v>
      </c>
      <c r="S25" s="48">
        <v>2.8</v>
      </c>
      <c r="T25" s="50">
        <f t="shared" si="18"/>
        <v>3</v>
      </c>
      <c r="U25" s="54">
        <f t="shared" si="19"/>
        <v>0</v>
      </c>
      <c r="V25" s="56">
        <f t="shared" si="20"/>
        <v>2</v>
      </c>
      <c r="W25" s="11">
        <v>3</v>
      </c>
      <c r="X25" s="132">
        <v>6</v>
      </c>
      <c r="Y25" s="11">
        <f t="shared" si="10"/>
        <v>18</v>
      </c>
      <c r="Z25" s="134">
        <f t="shared" si="11"/>
        <v>4</v>
      </c>
      <c r="AA25" s="12"/>
      <c r="AB25" s="15"/>
    </row>
    <row r="26" spans="1:28" x14ac:dyDescent="0.25">
      <c r="A26" s="6">
        <v>25</v>
      </c>
      <c r="B26" s="8" t="s">
        <v>35</v>
      </c>
      <c r="C26" s="17">
        <v>5.2039999999999997</v>
      </c>
      <c r="D26" s="9">
        <v>56.3</v>
      </c>
      <c r="E26" s="9">
        <f>(24+3+16)/3</f>
        <v>14.333333333333334</v>
      </c>
      <c r="F26" s="10">
        <v>0.9</v>
      </c>
      <c r="G26" s="18">
        <f>(1144+1153+1174)/3</f>
        <v>1157</v>
      </c>
      <c r="H26" s="23">
        <f t="shared" si="15"/>
        <v>10.818601076095311</v>
      </c>
      <c r="I26" s="24">
        <f t="shared" si="1"/>
        <v>2</v>
      </c>
      <c r="J26" s="23">
        <f t="shared" si="2"/>
        <v>0.9</v>
      </c>
      <c r="K26" s="24">
        <f t="shared" si="3"/>
        <v>2</v>
      </c>
      <c r="L26" s="31">
        <f t="shared" si="16"/>
        <v>1.2388360702967446E-2</v>
      </c>
      <c r="M26" s="24">
        <f t="shared" si="5"/>
        <v>1</v>
      </c>
      <c r="N26" s="42">
        <f t="shared" si="6"/>
        <v>1.6</v>
      </c>
      <c r="O26" s="43">
        <f t="shared" si="7"/>
        <v>2</v>
      </c>
      <c r="P26" s="16">
        <v>1</v>
      </c>
      <c r="Q26" s="33">
        <f t="shared" si="8"/>
        <v>2</v>
      </c>
      <c r="R26" s="45">
        <f t="shared" si="17"/>
        <v>1</v>
      </c>
      <c r="S26" s="48">
        <v>2</v>
      </c>
      <c r="T26" s="50">
        <f t="shared" si="18"/>
        <v>2</v>
      </c>
      <c r="U26" s="54">
        <f t="shared" si="19"/>
        <v>-1</v>
      </c>
      <c r="V26" s="56">
        <f t="shared" si="20"/>
        <v>2</v>
      </c>
      <c r="W26" s="11">
        <v>3</v>
      </c>
      <c r="X26" s="132">
        <v>6</v>
      </c>
      <c r="Y26" s="11">
        <f t="shared" si="10"/>
        <v>18</v>
      </c>
      <c r="Z26" s="134">
        <f t="shared" si="11"/>
        <v>4</v>
      </c>
      <c r="AA26" s="12"/>
      <c r="AB26" s="15"/>
    </row>
    <row r="27" spans="1:28" ht="15.75" thickBot="1" x14ac:dyDescent="0.3">
      <c r="A27" s="7">
        <v>26</v>
      </c>
      <c r="B27" s="14" t="s">
        <v>36</v>
      </c>
      <c r="C27" s="19">
        <v>8.3988999999999994</v>
      </c>
      <c r="D27" s="20">
        <v>92.5</v>
      </c>
      <c r="E27" s="20">
        <f>(17+27+18)/3</f>
        <v>20.666666666666668</v>
      </c>
      <c r="F27" s="21">
        <f>E27/D27</f>
        <v>0.22342342342342345</v>
      </c>
      <c r="G27" s="22">
        <f>(585+601+616)/3</f>
        <v>600.66666666666663</v>
      </c>
      <c r="H27" s="25">
        <f t="shared" si="15"/>
        <v>11.013346985914824</v>
      </c>
      <c r="I27" s="26">
        <f t="shared" si="1"/>
        <v>2</v>
      </c>
      <c r="J27" s="25">
        <f t="shared" si="2"/>
        <v>0.22342342342342345</v>
      </c>
      <c r="K27" s="26">
        <f t="shared" si="3"/>
        <v>2</v>
      </c>
      <c r="L27" s="32">
        <f t="shared" si="16"/>
        <v>3.4406215316315207E-2</v>
      </c>
      <c r="M27" s="26">
        <f t="shared" si="5"/>
        <v>2</v>
      </c>
      <c r="N27" s="42">
        <f t="shared" si="6"/>
        <v>2</v>
      </c>
      <c r="O27" s="44">
        <f t="shared" si="7"/>
        <v>3</v>
      </c>
      <c r="P27" s="16">
        <v>3</v>
      </c>
      <c r="Q27" s="33">
        <f t="shared" si="8"/>
        <v>9</v>
      </c>
      <c r="R27" s="46">
        <f t="shared" si="17"/>
        <v>3</v>
      </c>
      <c r="S27" s="48">
        <v>1.4</v>
      </c>
      <c r="T27" s="52">
        <f t="shared" si="18"/>
        <v>1</v>
      </c>
      <c r="U27" s="54">
        <f t="shared" si="19"/>
        <v>2</v>
      </c>
      <c r="V27" s="58">
        <f t="shared" si="20"/>
        <v>4</v>
      </c>
      <c r="W27" s="11">
        <v>3</v>
      </c>
      <c r="X27" s="132">
        <v>6</v>
      </c>
      <c r="Y27" s="11">
        <f t="shared" si="10"/>
        <v>18</v>
      </c>
      <c r="Z27" s="134">
        <f t="shared" si="11"/>
        <v>4</v>
      </c>
      <c r="AA27" s="12"/>
      <c r="AB27" s="15"/>
    </row>
    <row r="31" spans="1:28" x14ac:dyDescent="0.25">
      <c r="F31" s="27"/>
      <c r="G31" s="28"/>
      <c r="I31" s="27"/>
      <c r="J31" s="28"/>
      <c r="L31" s="27"/>
      <c r="M31" s="28"/>
      <c r="P31" s="28"/>
    </row>
    <row r="32" spans="1:28" x14ac:dyDescent="0.25">
      <c r="F32" s="27"/>
      <c r="G32" s="28"/>
      <c r="I32" s="27"/>
      <c r="J32" s="28"/>
      <c r="L32" s="27"/>
      <c r="M32" s="28"/>
      <c r="P32" s="28"/>
    </row>
    <row r="33" spans="6:16" x14ac:dyDescent="0.25">
      <c r="F33" s="27"/>
      <c r="G33" s="28"/>
      <c r="I33" s="27"/>
      <c r="J33" s="28"/>
      <c r="L33" s="27"/>
      <c r="M33" s="28"/>
      <c r="P33" s="28"/>
    </row>
    <row r="34" spans="6:16" x14ac:dyDescent="0.25">
      <c r="F34" s="27"/>
      <c r="G34" s="28"/>
      <c r="I34" s="27"/>
      <c r="J34" s="28"/>
      <c r="L34" s="27"/>
      <c r="M34" s="28"/>
      <c r="P34" s="28"/>
    </row>
    <row r="35" spans="6:16" x14ac:dyDescent="0.25">
      <c r="F35" s="27"/>
      <c r="G35" s="28"/>
      <c r="I35" s="27"/>
      <c r="J35" s="28"/>
      <c r="L35" s="27"/>
      <c r="M35" s="28"/>
      <c r="P35" s="28"/>
    </row>
    <row r="36" spans="6:16" x14ac:dyDescent="0.25">
      <c r="F36" s="27"/>
      <c r="G36" s="28"/>
      <c r="I36" s="27"/>
      <c r="J36" s="28"/>
      <c r="L36" s="27"/>
      <c r="M36" s="28"/>
      <c r="P36" s="28"/>
    </row>
    <row r="37" spans="6:16" x14ac:dyDescent="0.25">
      <c r="F37" s="27"/>
      <c r="G37" s="28"/>
      <c r="I37" s="27"/>
      <c r="J37" s="28"/>
      <c r="L37" s="27"/>
      <c r="M37" s="28"/>
      <c r="P37" s="28"/>
    </row>
    <row r="38" spans="6:16" x14ac:dyDescent="0.25">
      <c r="F38" s="27"/>
      <c r="G38" s="28"/>
      <c r="I38" s="27"/>
      <c r="J38" s="28"/>
      <c r="L38" s="27"/>
      <c r="M38" s="28"/>
      <c r="P38" s="29"/>
    </row>
    <row r="39" spans="6:16" x14ac:dyDescent="0.25">
      <c r="F39" s="27"/>
      <c r="G39" s="29"/>
      <c r="I39" s="27"/>
      <c r="J39" s="28"/>
      <c r="L39" s="27"/>
      <c r="M39" s="28"/>
      <c r="P39" s="29"/>
    </row>
    <row r="40" spans="6:16" x14ac:dyDescent="0.25">
      <c r="F40" s="27"/>
      <c r="G40" s="29"/>
      <c r="I40" s="27"/>
      <c r="J40" s="28"/>
      <c r="L40" s="27"/>
      <c r="M40" s="28"/>
      <c r="P40" s="29"/>
    </row>
    <row r="41" spans="6:16" x14ac:dyDescent="0.25">
      <c r="F41" s="27"/>
      <c r="G41" s="29"/>
      <c r="I41" s="27"/>
      <c r="J41" s="28"/>
      <c r="L41" s="27"/>
      <c r="M41" s="28"/>
      <c r="P41" s="29"/>
    </row>
    <row r="42" spans="6:16" x14ac:dyDescent="0.25">
      <c r="F42" s="27"/>
      <c r="G42" s="29"/>
      <c r="I42" s="27"/>
      <c r="J42" s="29"/>
      <c r="L42" s="27"/>
      <c r="M42" s="29"/>
      <c r="P42" s="29"/>
    </row>
    <row r="43" spans="6:16" x14ac:dyDescent="0.25">
      <c r="F43" s="27"/>
      <c r="G43" s="29"/>
      <c r="I43" s="27"/>
      <c r="J43" s="29"/>
      <c r="L43" s="27"/>
      <c r="M43" s="29"/>
      <c r="P43" s="29"/>
    </row>
    <row r="44" spans="6:16" x14ac:dyDescent="0.25">
      <c r="F44" s="27"/>
      <c r="G44" s="29"/>
      <c r="I44" s="27"/>
      <c r="J44" s="29"/>
      <c r="L44" s="27"/>
      <c r="M44" s="29"/>
      <c r="P44" s="29"/>
    </row>
    <row r="45" spans="6:16" x14ac:dyDescent="0.25">
      <c r="F45" s="27"/>
      <c r="G45" s="29"/>
      <c r="I45" s="27"/>
      <c r="J45" s="29"/>
      <c r="L45" s="27"/>
      <c r="M45" s="29"/>
      <c r="P45" s="29"/>
    </row>
    <row r="46" spans="6:16" x14ac:dyDescent="0.25">
      <c r="F46" s="27"/>
      <c r="G46" s="29"/>
      <c r="I46" s="27"/>
      <c r="J46" s="29"/>
      <c r="L46" s="27"/>
      <c r="M46" s="29"/>
      <c r="P46" s="29"/>
    </row>
    <row r="47" spans="6:16" x14ac:dyDescent="0.25">
      <c r="F47" s="27"/>
      <c r="G47" s="29"/>
      <c r="I47" s="27"/>
      <c r="J47" s="29"/>
      <c r="L47" s="27"/>
      <c r="M47" s="29"/>
      <c r="P47" s="29"/>
    </row>
    <row r="48" spans="6:16" x14ac:dyDescent="0.25">
      <c r="F48" s="27"/>
      <c r="G48" s="29"/>
      <c r="I48" s="27"/>
      <c r="J48" s="29"/>
      <c r="L48" s="27"/>
      <c r="M48" s="29"/>
      <c r="P48" s="29"/>
    </row>
    <row r="49" spans="6:16" x14ac:dyDescent="0.25">
      <c r="F49" s="27"/>
      <c r="G49" s="29"/>
      <c r="I49" s="27"/>
      <c r="J49" s="29"/>
      <c r="L49" s="27"/>
      <c r="M49" s="29"/>
      <c r="P49" s="30"/>
    </row>
    <row r="50" spans="6:16" x14ac:dyDescent="0.25">
      <c r="F50" s="27"/>
      <c r="G50" s="29"/>
      <c r="I50" s="27"/>
      <c r="J50" s="29"/>
      <c r="L50" s="27"/>
      <c r="M50" s="29"/>
      <c r="P50" s="30"/>
    </row>
    <row r="51" spans="6:16" x14ac:dyDescent="0.25">
      <c r="F51" s="27"/>
      <c r="G51" s="29"/>
      <c r="I51" s="27"/>
      <c r="J51" s="29"/>
      <c r="L51" s="27"/>
      <c r="M51" s="29"/>
      <c r="P51" s="30"/>
    </row>
    <row r="52" spans="6:16" x14ac:dyDescent="0.25">
      <c r="F52" s="27"/>
      <c r="G52" s="29"/>
      <c r="I52" s="27"/>
      <c r="J52" s="29"/>
      <c r="L52" s="27"/>
      <c r="M52" s="29"/>
      <c r="P52" s="30"/>
    </row>
    <row r="53" spans="6:16" x14ac:dyDescent="0.25">
      <c r="F53" s="27"/>
      <c r="G53" s="29"/>
      <c r="I53" s="27"/>
      <c r="J53" s="30"/>
      <c r="L53" s="27"/>
      <c r="M53" s="29"/>
      <c r="P53" s="30"/>
    </row>
    <row r="54" spans="6:16" x14ac:dyDescent="0.25">
      <c r="F54" s="27"/>
      <c r="G54" s="30"/>
      <c r="I54" s="27"/>
      <c r="J54" s="30"/>
      <c r="L54" s="27"/>
      <c r="M54" s="29"/>
      <c r="P54" s="30"/>
    </row>
    <row r="55" spans="6:16" x14ac:dyDescent="0.25">
      <c r="F55" s="27"/>
      <c r="G55" s="30"/>
      <c r="I55" s="27"/>
      <c r="J55" s="30"/>
      <c r="L55" s="27"/>
      <c r="M55" s="30"/>
      <c r="P55" s="30"/>
    </row>
    <row r="56" spans="6:16" x14ac:dyDescent="0.25">
      <c r="F56" s="27"/>
      <c r="G56" s="30"/>
      <c r="I56" s="27"/>
      <c r="J56" s="30"/>
      <c r="L56" s="27"/>
      <c r="M56" s="30"/>
      <c r="P56" s="30"/>
    </row>
  </sheetData>
  <sortState xmlns:xlrd2="http://schemas.microsoft.com/office/spreadsheetml/2017/richdata2" ref="A2:Z27">
    <sortCondition ref="A2:A27"/>
  </sortState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616B8-9DEA-412E-8A43-14A87240D292}">
  <dimension ref="A1:Z27"/>
  <sheetViews>
    <sheetView zoomScale="80" zoomScaleNormal="8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F9" sqref="F9"/>
    </sheetView>
  </sheetViews>
  <sheetFormatPr defaultColWidth="8.7109375" defaultRowHeight="14.25" x14ac:dyDescent="0.2"/>
  <cols>
    <col min="1" max="1" width="8.7109375" style="1"/>
    <col min="2" max="2" width="25.140625" style="1" bestFit="1" customWidth="1"/>
    <col min="3" max="3" width="20.5703125" style="1" customWidth="1"/>
    <col min="4" max="4" width="26.5703125" style="1" customWidth="1"/>
    <col min="5" max="5" width="20.5703125" style="1" customWidth="1"/>
    <col min="6" max="6" width="22.42578125" style="1" customWidth="1"/>
    <col min="7" max="7" width="22.7109375" style="1" customWidth="1"/>
    <col min="8" max="8" width="21" style="1" customWidth="1"/>
    <col min="9" max="9" width="17.85546875" style="1" customWidth="1"/>
    <col min="10" max="10" width="20.5703125" style="1" customWidth="1"/>
    <col min="11" max="11" width="18.7109375" style="1" customWidth="1"/>
    <col min="12" max="12" width="19.85546875" style="1" customWidth="1"/>
    <col min="13" max="13" width="15.42578125" style="1" customWidth="1"/>
    <col min="14" max="14" width="16.140625" style="1" customWidth="1"/>
    <col min="15" max="15" width="15.42578125" style="2" customWidth="1"/>
    <col min="16" max="16" width="21.28515625" style="2" customWidth="1"/>
    <col min="17" max="17" width="15.7109375" style="2" customWidth="1"/>
    <col min="18" max="18" width="16" style="2" customWidth="1"/>
    <col min="19" max="20" width="17" style="2" customWidth="1"/>
    <col min="21" max="21" width="16.85546875" style="2" customWidth="1"/>
    <col min="22" max="22" width="15.140625" style="2" customWidth="1"/>
    <col min="23" max="23" width="17.28515625" style="2" customWidth="1"/>
    <col min="24" max="24" width="23.5703125" style="2" customWidth="1"/>
    <col min="25" max="25" width="16.28515625" style="2" customWidth="1"/>
    <col min="26" max="26" width="16.42578125" style="1" customWidth="1"/>
    <col min="27" max="16384" width="8.7109375" style="1"/>
  </cols>
  <sheetData>
    <row r="1" spans="1:26" ht="96" customHeight="1" x14ac:dyDescent="0.2">
      <c r="A1" s="4" t="s">
        <v>0</v>
      </c>
      <c r="B1" s="61" t="s">
        <v>1</v>
      </c>
      <c r="C1" s="34" t="s">
        <v>38</v>
      </c>
      <c r="D1" s="35" t="s">
        <v>53</v>
      </c>
      <c r="E1" s="35" t="s">
        <v>44</v>
      </c>
      <c r="F1" s="35" t="s">
        <v>46</v>
      </c>
      <c r="G1" s="36" t="s">
        <v>51</v>
      </c>
      <c r="H1" s="34" t="s">
        <v>43</v>
      </c>
      <c r="I1" s="36" t="s">
        <v>45</v>
      </c>
      <c r="J1" s="34" t="s">
        <v>39</v>
      </c>
      <c r="K1" s="36" t="s">
        <v>47</v>
      </c>
      <c r="L1" s="34" t="s">
        <v>48</v>
      </c>
      <c r="M1" s="36" t="s">
        <v>49</v>
      </c>
      <c r="N1" s="41" t="s">
        <v>50</v>
      </c>
      <c r="O1" s="39" t="s">
        <v>2</v>
      </c>
      <c r="P1" s="81" t="s">
        <v>3</v>
      </c>
      <c r="Q1" s="125" t="s">
        <v>4</v>
      </c>
      <c r="R1" s="129" t="s">
        <v>5</v>
      </c>
      <c r="S1" s="128" t="s">
        <v>52</v>
      </c>
      <c r="T1" s="81" t="s">
        <v>6</v>
      </c>
      <c r="U1" s="81" t="s">
        <v>7</v>
      </c>
      <c r="V1" s="81" t="s">
        <v>8</v>
      </c>
      <c r="W1" s="81" t="s">
        <v>9</v>
      </c>
      <c r="X1" s="81" t="s">
        <v>10</v>
      </c>
      <c r="Y1" s="81" t="s">
        <v>11</v>
      </c>
      <c r="Z1" s="81" t="s">
        <v>12</v>
      </c>
    </row>
    <row r="2" spans="1:26" ht="15" x14ac:dyDescent="0.2">
      <c r="A2" s="6">
        <v>1</v>
      </c>
      <c r="B2" s="59" t="s">
        <v>13</v>
      </c>
      <c r="C2" s="63">
        <v>19.836400000000001</v>
      </c>
      <c r="D2" s="64">
        <f>(210.6+211)/2</f>
        <v>210.8</v>
      </c>
      <c r="E2" s="64">
        <f>(19+16+47)/3</f>
        <v>27.333333333333332</v>
      </c>
      <c r="F2" s="65">
        <v>0.1</v>
      </c>
      <c r="G2" s="66">
        <f>(3248+3280+3317)/3</f>
        <v>3281.6666666666665</v>
      </c>
      <c r="H2" s="67">
        <f t="shared" ref="H2:H7" si="0">D2/C2</f>
        <v>10.626928273275393</v>
      </c>
      <c r="I2" s="68">
        <f t="shared" ref="I2:I27" si="1">IF(H2&lt;7,1,IF(H2&lt;12,2,3))</f>
        <v>2</v>
      </c>
      <c r="J2" s="67">
        <f t="shared" ref="J2:J27" si="2">F2</f>
        <v>0.1</v>
      </c>
      <c r="K2" s="68">
        <f t="shared" ref="K2:K27" si="3">IF(J2&lt;0.2,1,IF(J2&lt;1,2,3))</f>
        <v>1</v>
      </c>
      <c r="L2" s="69">
        <f t="shared" ref="L2:L7" si="4">E2/G2</f>
        <v>8.3291010665312339E-3</v>
      </c>
      <c r="M2" s="68">
        <f t="shared" ref="M2:M27" si="5">IF(L2&lt;0.015,1,IF(L2&lt;0.035,2,3))</f>
        <v>1</v>
      </c>
      <c r="N2" s="70">
        <f t="shared" ref="N2:N27" si="6">((I2*30%)+(K2*30%)+(M2*40%)/100%)</f>
        <v>1.2999999999999998</v>
      </c>
      <c r="O2" s="71">
        <f t="shared" ref="O2:O27" si="7">IF(N2&lt;1.6,1,IF(N2&lt;2,2,3))</f>
        <v>1</v>
      </c>
      <c r="P2" s="82">
        <v>3</v>
      </c>
      <c r="Q2" s="126">
        <f>O2*P2</f>
        <v>3</v>
      </c>
      <c r="R2" s="130">
        <f>IF(Q2&lt;3,1,IF(Q2&lt;5,2,IF(Q2&lt;12,3,4)))</f>
        <v>2</v>
      </c>
      <c r="S2" s="48">
        <v>1.4</v>
      </c>
      <c r="T2" s="80">
        <f>IF(S2&lt;1.5,1,IF(S2&lt;2.5,2,IF(S2&lt;3.3,3,4)))</f>
        <v>1</v>
      </c>
      <c r="U2" s="80">
        <f>R2-T2</f>
        <v>1</v>
      </c>
      <c r="V2" s="84">
        <f>IF(U2&lt;-1,1,IF(U2&lt;1,2,IF(U2=1,3,4)))</f>
        <v>3</v>
      </c>
      <c r="W2" s="80">
        <v>2</v>
      </c>
      <c r="X2" s="133">
        <v>6</v>
      </c>
      <c r="Y2" s="80">
        <f t="shared" ref="Y2:Y27" si="8">W2*X2</f>
        <v>12</v>
      </c>
      <c r="Z2" s="136">
        <f t="shared" ref="Z2:Z27" si="9">IF(Y2&lt;6,1,IF(Y2&lt;12,2,IF(Y2&lt;18,3,4)))</f>
        <v>3</v>
      </c>
    </row>
    <row r="3" spans="1:26" ht="15" x14ac:dyDescent="0.2">
      <c r="A3" s="6">
        <v>2</v>
      </c>
      <c r="B3" s="59" t="s">
        <v>14</v>
      </c>
      <c r="C3" s="63">
        <v>2.4489999999999998</v>
      </c>
      <c r="D3" s="64">
        <v>20.399999999999999</v>
      </c>
      <c r="E3" s="64">
        <f>(9+4+7)/3</f>
        <v>6.666666666666667</v>
      </c>
      <c r="F3" s="65">
        <v>0.9</v>
      </c>
      <c r="G3" s="66">
        <f>(371+371+373)/3</f>
        <v>371.66666666666669</v>
      </c>
      <c r="H3" s="67">
        <f t="shared" si="0"/>
        <v>8.3299305839117999</v>
      </c>
      <c r="I3" s="68">
        <f t="shared" si="1"/>
        <v>2</v>
      </c>
      <c r="J3" s="67">
        <f t="shared" si="2"/>
        <v>0.9</v>
      </c>
      <c r="K3" s="68">
        <f t="shared" si="3"/>
        <v>2</v>
      </c>
      <c r="L3" s="69">
        <f t="shared" si="4"/>
        <v>1.7937219730941704E-2</v>
      </c>
      <c r="M3" s="68">
        <f t="shared" si="5"/>
        <v>2</v>
      </c>
      <c r="N3" s="70">
        <f t="shared" si="6"/>
        <v>2</v>
      </c>
      <c r="O3" s="71">
        <f t="shared" si="7"/>
        <v>3</v>
      </c>
      <c r="P3" s="82">
        <v>0</v>
      </c>
      <c r="Q3" s="127">
        <v>0</v>
      </c>
      <c r="R3" s="71">
        <v>0</v>
      </c>
      <c r="S3" s="48">
        <v>1.8</v>
      </c>
      <c r="T3" s="80">
        <v>0</v>
      </c>
      <c r="U3" s="82">
        <v>0</v>
      </c>
      <c r="V3" s="91">
        <v>0</v>
      </c>
      <c r="W3" s="80">
        <v>2</v>
      </c>
      <c r="X3" s="133">
        <v>5</v>
      </c>
      <c r="Y3" s="80">
        <f t="shared" si="8"/>
        <v>10</v>
      </c>
      <c r="Z3" s="135">
        <f t="shared" si="9"/>
        <v>2</v>
      </c>
    </row>
    <row r="4" spans="1:26" ht="15" x14ac:dyDescent="0.2">
      <c r="A4" s="6">
        <v>3</v>
      </c>
      <c r="B4" s="60" t="s">
        <v>41</v>
      </c>
      <c r="C4" s="63">
        <v>5.0085000000000006</v>
      </c>
      <c r="D4" s="64">
        <f>(69.5+69.9)/2</f>
        <v>69.7</v>
      </c>
      <c r="E4" s="64">
        <f>(48+43+44)/3</f>
        <v>45</v>
      </c>
      <c r="F4" s="65">
        <f>E4/D4</f>
        <v>0.64562410329985653</v>
      </c>
      <c r="G4" s="66">
        <f>(1539+1546+1547)/3</f>
        <v>1544</v>
      </c>
      <c r="H4" s="67">
        <f t="shared" si="0"/>
        <v>13.91634221822901</v>
      </c>
      <c r="I4" s="68">
        <f t="shared" si="1"/>
        <v>3</v>
      </c>
      <c r="J4" s="67">
        <f t="shared" si="2"/>
        <v>0.64562410329985653</v>
      </c>
      <c r="K4" s="68">
        <f t="shared" si="3"/>
        <v>2</v>
      </c>
      <c r="L4" s="69">
        <f t="shared" si="4"/>
        <v>2.9145077720207253E-2</v>
      </c>
      <c r="M4" s="68">
        <f t="shared" si="5"/>
        <v>2</v>
      </c>
      <c r="N4" s="70">
        <f t="shared" si="6"/>
        <v>2.2999999999999998</v>
      </c>
      <c r="O4" s="71">
        <f t="shared" si="7"/>
        <v>3</v>
      </c>
      <c r="P4" s="82">
        <v>3</v>
      </c>
      <c r="Q4" s="126">
        <f>O4*P4</f>
        <v>9</v>
      </c>
      <c r="R4" s="130">
        <f>IF(Q4&lt;3,1,IF(Q4&lt;5,2,IF(Q4&lt;12,3,4)))</f>
        <v>3</v>
      </c>
      <c r="S4" s="48">
        <v>3.8</v>
      </c>
      <c r="T4" s="80">
        <f>IF(S4&lt;1.5,1,IF(S4&lt;2.5,2,IF(S4&lt;3.3,3,4)))</f>
        <v>4</v>
      </c>
      <c r="U4" s="80">
        <f>R4-T4</f>
        <v>-1</v>
      </c>
      <c r="V4" s="84">
        <f>IF(U4&lt;-1,1,IF(U4&lt;1,2,IF(U4=1,3,4)))</f>
        <v>2</v>
      </c>
      <c r="W4" s="80">
        <v>2</v>
      </c>
      <c r="X4" s="133">
        <v>6</v>
      </c>
      <c r="Y4" s="80">
        <f t="shared" si="8"/>
        <v>12</v>
      </c>
      <c r="Z4" s="136">
        <f t="shared" si="9"/>
        <v>3</v>
      </c>
    </row>
    <row r="5" spans="1:26" ht="15" x14ac:dyDescent="0.2">
      <c r="A5" s="6">
        <v>4</v>
      </c>
      <c r="B5" s="59" t="s">
        <v>15</v>
      </c>
      <c r="C5" s="63">
        <v>7.1189</v>
      </c>
      <c r="D5" s="64">
        <v>63.2</v>
      </c>
      <c r="E5" s="64">
        <f>(9+12+10)/3</f>
        <v>10.333333333333334</v>
      </c>
      <c r="F5" s="65">
        <f>E5/D5</f>
        <v>0.16350210970464135</v>
      </c>
      <c r="G5" s="66">
        <f>(874+878+878)/3</f>
        <v>876.66666666666663</v>
      </c>
      <c r="H5" s="67">
        <f t="shared" si="0"/>
        <v>8.8777760609082872</v>
      </c>
      <c r="I5" s="68">
        <f t="shared" si="1"/>
        <v>2</v>
      </c>
      <c r="J5" s="67">
        <f t="shared" si="2"/>
        <v>0.16350210970464135</v>
      </c>
      <c r="K5" s="68">
        <f t="shared" si="3"/>
        <v>1</v>
      </c>
      <c r="L5" s="69">
        <f t="shared" si="4"/>
        <v>1.1787072243346009E-2</v>
      </c>
      <c r="M5" s="68">
        <f t="shared" si="5"/>
        <v>1</v>
      </c>
      <c r="N5" s="70">
        <f t="shared" si="6"/>
        <v>1.2999999999999998</v>
      </c>
      <c r="O5" s="71">
        <f t="shared" si="7"/>
        <v>1</v>
      </c>
      <c r="P5" s="82">
        <v>2</v>
      </c>
      <c r="Q5" s="126">
        <f>O5*P5</f>
        <v>2</v>
      </c>
      <c r="R5" s="130">
        <f>IF(Q5&lt;3,1,IF(Q5&lt;5,2,IF(Q5&lt;12,3,4)))</f>
        <v>1</v>
      </c>
      <c r="S5" s="48">
        <v>2.4</v>
      </c>
      <c r="T5" s="80">
        <f>IF(S5&lt;1.5,1,IF(S5&lt;2.5,2,IF(S5&lt;3.3,3,4)))</f>
        <v>2</v>
      </c>
      <c r="U5" s="80">
        <f>R5-T5</f>
        <v>-1</v>
      </c>
      <c r="V5" s="83">
        <f>IF(U5&lt;-1,1,IF(U5&lt;1,2,IF(U5=1,3,4)))</f>
        <v>2</v>
      </c>
      <c r="W5" s="80">
        <v>2</v>
      </c>
      <c r="X5" s="133">
        <v>5</v>
      </c>
      <c r="Y5" s="80">
        <f t="shared" si="8"/>
        <v>10</v>
      </c>
      <c r="Z5" s="135">
        <f t="shared" si="9"/>
        <v>2</v>
      </c>
    </row>
    <row r="6" spans="1:26" ht="15" x14ac:dyDescent="0.2">
      <c r="A6" s="6">
        <v>5</v>
      </c>
      <c r="B6" s="59" t="s">
        <v>16</v>
      </c>
      <c r="C6" s="63">
        <v>12.3446</v>
      </c>
      <c r="D6" s="64">
        <f>(99.6+100)/2</f>
        <v>99.8</v>
      </c>
      <c r="E6" s="64">
        <f>(49+42+49)/3</f>
        <v>46.666666666666664</v>
      </c>
      <c r="F6" s="65">
        <v>0.3</v>
      </c>
      <c r="G6" s="66">
        <f>(1800+1825+1848)/3</f>
        <v>1824.3333333333333</v>
      </c>
      <c r="H6" s="67">
        <f t="shared" si="0"/>
        <v>8.0845065858756051</v>
      </c>
      <c r="I6" s="68">
        <f t="shared" si="1"/>
        <v>2</v>
      </c>
      <c r="J6" s="67">
        <f t="shared" si="2"/>
        <v>0.3</v>
      </c>
      <c r="K6" s="68">
        <f t="shared" si="3"/>
        <v>2</v>
      </c>
      <c r="L6" s="69">
        <f t="shared" si="4"/>
        <v>2.5580120591997078E-2</v>
      </c>
      <c r="M6" s="68">
        <f t="shared" si="5"/>
        <v>2</v>
      </c>
      <c r="N6" s="70">
        <f t="shared" si="6"/>
        <v>2</v>
      </c>
      <c r="O6" s="71">
        <f t="shared" si="7"/>
        <v>3</v>
      </c>
      <c r="P6" s="82">
        <v>4</v>
      </c>
      <c r="Q6" s="126">
        <f>O6*P6</f>
        <v>12</v>
      </c>
      <c r="R6" s="130">
        <f>IF(Q6&lt;3,1,IF(Q6&lt;5,2,IF(Q6&lt;12,3,4)))</f>
        <v>4</v>
      </c>
      <c r="S6" s="48" t="s">
        <v>37</v>
      </c>
      <c r="T6" s="80" t="s">
        <v>37</v>
      </c>
      <c r="U6" s="80" t="s">
        <v>37</v>
      </c>
      <c r="V6" s="86">
        <f>R6</f>
        <v>4</v>
      </c>
      <c r="W6" s="80">
        <v>2</v>
      </c>
      <c r="X6" s="133">
        <v>6</v>
      </c>
      <c r="Y6" s="80">
        <f t="shared" si="8"/>
        <v>12</v>
      </c>
      <c r="Z6" s="136">
        <f t="shared" si="9"/>
        <v>3</v>
      </c>
    </row>
    <row r="7" spans="1:26" ht="15" x14ac:dyDescent="0.2">
      <c r="A7" s="6">
        <v>6</v>
      </c>
      <c r="B7" s="59" t="s">
        <v>17</v>
      </c>
      <c r="C7" s="63">
        <v>9.9307999999999996</v>
      </c>
      <c r="D7" s="64">
        <v>102</v>
      </c>
      <c r="E7" s="64">
        <f>(28+39+41)/3</f>
        <v>36</v>
      </c>
      <c r="F7" s="65">
        <v>0.1</v>
      </c>
      <c r="G7" s="66">
        <f>(986+1098+1163)/3</f>
        <v>1082.3333333333333</v>
      </c>
      <c r="H7" s="67">
        <f t="shared" si="0"/>
        <v>10.271075844846337</v>
      </c>
      <c r="I7" s="68">
        <f t="shared" si="1"/>
        <v>2</v>
      </c>
      <c r="J7" s="67">
        <f t="shared" si="2"/>
        <v>0.1</v>
      </c>
      <c r="K7" s="68">
        <f t="shared" si="3"/>
        <v>1</v>
      </c>
      <c r="L7" s="69">
        <f t="shared" si="4"/>
        <v>3.3261472128118266E-2</v>
      </c>
      <c r="M7" s="68">
        <f t="shared" si="5"/>
        <v>2</v>
      </c>
      <c r="N7" s="70">
        <f t="shared" si="6"/>
        <v>1.7</v>
      </c>
      <c r="O7" s="71">
        <f t="shared" si="7"/>
        <v>2</v>
      </c>
      <c r="P7" s="82">
        <v>1</v>
      </c>
      <c r="Q7" s="126">
        <f>O7*P7</f>
        <v>2</v>
      </c>
      <c r="R7" s="130">
        <f>IF(Q7&lt;3,1,IF(Q7&lt;5,2,IF(Q7&lt;12,3,4)))</f>
        <v>1</v>
      </c>
      <c r="S7" s="48">
        <v>1.4</v>
      </c>
      <c r="T7" s="80">
        <f>IF(S7&lt;1.5,1,IF(S7&lt;2.5,2,IF(S7&lt;3.3,3,4)))</f>
        <v>1</v>
      </c>
      <c r="U7" s="80">
        <f>R7-T7</f>
        <v>0</v>
      </c>
      <c r="V7" s="84">
        <f>IF(U7&lt;-1,1,IF(U7&lt;1,2,IF(U7=1,3,4)))</f>
        <v>2</v>
      </c>
      <c r="W7" s="80">
        <v>2</v>
      </c>
      <c r="X7" s="133">
        <v>5</v>
      </c>
      <c r="Y7" s="80">
        <f t="shared" si="8"/>
        <v>10</v>
      </c>
      <c r="Z7" s="135">
        <f t="shared" si="9"/>
        <v>2</v>
      </c>
    </row>
    <row r="8" spans="1:26" ht="15" x14ac:dyDescent="0.2">
      <c r="A8" s="6">
        <v>7</v>
      </c>
      <c r="B8" s="59" t="s">
        <v>18</v>
      </c>
      <c r="C8" s="63">
        <v>8.3160000000000007</v>
      </c>
      <c r="D8" s="64">
        <v>87</v>
      </c>
      <c r="E8" s="64">
        <v>39</v>
      </c>
      <c r="F8" s="65">
        <v>0.1</v>
      </c>
      <c r="G8" s="66">
        <v>1163</v>
      </c>
      <c r="H8" s="67">
        <f t="shared" ref="H8:H27" si="10">(D8/C8)</f>
        <v>10.461760461760461</v>
      </c>
      <c r="I8" s="68">
        <f t="shared" si="1"/>
        <v>2</v>
      </c>
      <c r="J8" s="67">
        <f t="shared" si="2"/>
        <v>0.1</v>
      </c>
      <c r="K8" s="68">
        <f t="shared" si="3"/>
        <v>1</v>
      </c>
      <c r="L8" s="69">
        <f t="shared" ref="L8:L27" si="11">(E8/G8)</f>
        <v>3.3533963886500429E-2</v>
      </c>
      <c r="M8" s="68">
        <f t="shared" si="5"/>
        <v>2</v>
      </c>
      <c r="N8" s="70">
        <f t="shared" si="6"/>
        <v>1.7</v>
      </c>
      <c r="O8" s="71">
        <f t="shared" si="7"/>
        <v>2</v>
      </c>
      <c r="P8" s="82">
        <v>3</v>
      </c>
      <c r="Q8" s="126">
        <f>O8*P8</f>
        <v>6</v>
      </c>
      <c r="R8" s="130">
        <f>IF(Q8&lt;3,1,IF(Q8&lt;5,2,IF(Q8&lt;12,3,4)))</f>
        <v>3</v>
      </c>
      <c r="S8" s="48">
        <v>1.2</v>
      </c>
      <c r="T8" s="80">
        <f>IF(S8&lt;1.5,1,IF(S8&lt;2.5,2,IF(S8&lt;3.3,3,4)))</f>
        <v>1</v>
      </c>
      <c r="U8" s="80">
        <f>R8-T8</f>
        <v>2</v>
      </c>
      <c r="V8" s="86">
        <f>IF(U8&lt;-1,1,IF(U8&lt;1,2,IF(U8=1,3,4)))</f>
        <v>4</v>
      </c>
      <c r="W8" s="80">
        <v>2</v>
      </c>
      <c r="X8" s="133">
        <v>6</v>
      </c>
      <c r="Y8" s="80">
        <f t="shared" si="8"/>
        <v>12</v>
      </c>
      <c r="Z8" s="136">
        <f t="shared" si="9"/>
        <v>3</v>
      </c>
    </row>
    <row r="9" spans="1:26" ht="15" x14ac:dyDescent="0.2">
      <c r="A9" s="6">
        <v>8</v>
      </c>
      <c r="B9" s="59" t="s">
        <v>19</v>
      </c>
      <c r="C9" s="63">
        <v>4.8502000000000001</v>
      </c>
      <c r="D9" s="64">
        <v>40.9</v>
      </c>
      <c r="E9" s="64">
        <f>(26+10+12)/3</f>
        <v>16</v>
      </c>
      <c r="F9" s="65">
        <f>E9/D9</f>
        <v>0.39119804400977998</v>
      </c>
      <c r="G9" s="66">
        <f>(1130+1144+1149)/3</f>
        <v>1141</v>
      </c>
      <c r="H9" s="67">
        <f t="shared" si="10"/>
        <v>8.4326419529091581</v>
      </c>
      <c r="I9" s="68">
        <f t="shared" si="1"/>
        <v>2</v>
      </c>
      <c r="J9" s="67">
        <f t="shared" si="2"/>
        <v>0.39119804400977998</v>
      </c>
      <c r="K9" s="68">
        <f t="shared" si="3"/>
        <v>2</v>
      </c>
      <c r="L9" s="69">
        <f t="shared" si="11"/>
        <v>1.4022787028921999E-2</v>
      </c>
      <c r="M9" s="68">
        <f t="shared" si="5"/>
        <v>1</v>
      </c>
      <c r="N9" s="70">
        <f t="shared" si="6"/>
        <v>1.6</v>
      </c>
      <c r="O9" s="71">
        <f t="shared" si="7"/>
        <v>2</v>
      </c>
      <c r="P9" s="82">
        <v>0</v>
      </c>
      <c r="Q9" s="127">
        <v>0</v>
      </c>
      <c r="R9" s="71">
        <v>0</v>
      </c>
      <c r="S9" s="48">
        <v>3</v>
      </c>
      <c r="T9" s="80">
        <v>0</v>
      </c>
      <c r="U9" s="82">
        <v>0</v>
      </c>
      <c r="V9" s="91">
        <v>0</v>
      </c>
      <c r="W9" s="80">
        <v>2</v>
      </c>
      <c r="X9" s="133">
        <v>5</v>
      </c>
      <c r="Y9" s="80">
        <f t="shared" si="8"/>
        <v>10</v>
      </c>
      <c r="Z9" s="135">
        <f t="shared" si="9"/>
        <v>2</v>
      </c>
    </row>
    <row r="10" spans="1:26" ht="15" x14ac:dyDescent="0.2">
      <c r="A10" s="6">
        <v>9</v>
      </c>
      <c r="B10" s="59" t="s">
        <v>20</v>
      </c>
      <c r="C10" s="63">
        <v>11.48</v>
      </c>
      <c r="D10" s="64">
        <v>26.2</v>
      </c>
      <c r="E10" s="64">
        <f>(9+3+6)/3</f>
        <v>6</v>
      </c>
      <c r="F10" s="65">
        <v>0.5</v>
      </c>
      <c r="G10" s="66">
        <v>382</v>
      </c>
      <c r="H10" s="67">
        <f t="shared" si="10"/>
        <v>2.2822299651567941</v>
      </c>
      <c r="I10" s="68">
        <f t="shared" si="1"/>
        <v>1</v>
      </c>
      <c r="J10" s="67">
        <f t="shared" si="2"/>
        <v>0.5</v>
      </c>
      <c r="K10" s="68">
        <f t="shared" si="3"/>
        <v>2</v>
      </c>
      <c r="L10" s="69">
        <f t="shared" si="11"/>
        <v>1.5706806282722512E-2</v>
      </c>
      <c r="M10" s="68">
        <f t="shared" si="5"/>
        <v>2</v>
      </c>
      <c r="N10" s="70">
        <f t="shared" si="6"/>
        <v>1.7</v>
      </c>
      <c r="O10" s="71">
        <f t="shared" si="7"/>
        <v>2</v>
      </c>
      <c r="P10" s="82">
        <v>3</v>
      </c>
      <c r="Q10" s="126">
        <f t="shared" ref="Q10:Q25" si="12">O10*P10</f>
        <v>6</v>
      </c>
      <c r="R10" s="130">
        <f t="shared" ref="R10:R25" si="13">IF(Q10&lt;3,1,IF(Q10&lt;5,2,IF(Q10&lt;12,3,4)))</f>
        <v>3</v>
      </c>
      <c r="S10" s="48">
        <v>1.4</v>
      </c>
      <c r="T10" s="80">
        <f t="shared" ref="T10:T25" si="14">IF(S10&lt;1.5,1,IF(S10&lt;2.5,2,IF(S10&lt;3.3,3,4)))</f>
        <v>1</v>
      </c>
      <c r="U10" s="80">
        <f t="shared" ref="U10:U25" si="15">R10-T10</f>
        <v>2</v>
      </c>
      <c r="V10" s="85">
        <f t="shared" ref="V10:V25" si="16">IF(U10&lt;-1,1,IF(U10&lt;1,2,IF(U10=1,3,4)))</f>
        <v>4</v>
      </c>
      <c r="W10" s="80">
        <v>2</v>
      </c>
      <c r="X10" s="133">
        <v>6</v>
      </c>
      <c r="Y10" s="80">
        <f t="shared" si="8"/>
        <v>12</v>
      </c>
      <c r="Z10" s="136">
        <f t="shared" si="9"/>
        <v>3</v>
      </c>
    </row>
    <row r="11" spans="1:26" ht="15" x14ac:dyDescent="0.2">
      <c r="A11" s="6">
        <v>10</v>
      </c>
      <c r="B11" s="59" t="s">
        <v>21</v>
      </c>
      <c r="C11" s="63">
        <v>8.4289000000000005</v>
      </c>
      <c r="D11" s="64">
        <f>(91.6+95.5)/2</f>
        <v>93.55</v>
      </c>
      <c r="E11" s="64">
        <f>(6+8+6)/3</f>
        <v>6.666666666666667</v>
      </c>
      <c r="F11" s="65">
        <f>E11/D11</f>
        <v>7.1263139141279172E-2</v>
      </c>
      <c r="G11" s="66">
        <f>(1060+1064+1064)/3</f>
        <v>1062.6666666666667</v>
      </c>
      <c r="H11" s="67">
        <f t="shared" si="10"/>
        <v>11.098719880411441</v>
      </c>
      <c r="I11" s="68">
        <f t="shared" si="1"/>
        <v>2</v>
      </c>
      <c r="J11" s="67">
        <f t="shared" si="2"/>
        <v>7.1263139141279172E-2</v>
      </c>
      <c r="K11" s="68">
        <f t="shared" si="3"/>
        <v>1</v>
      </c>
      <c r="L11" s="69">
        <f t="shared" si="11"/>
        <v>6.2735257214554582E-3</v>
      </c>
      <c r="M11" s="68">
        <f t="shared" si="5"/>
        <v>1</v>
      </c>
      <c r="N11" s="70">
        <f t="shared" si="6"/>
        <v>1.2999999999999998</v>
      </c>
      <c r="O11" s="71">
        <f t="shared" si="7"/>
        <v>1</v>
      </c>
      <c r="P11" s="82">
        <v>1</v>
      </c>
      <c r="Q11" s="126">
        <f t="shared" si="12"/>
        <v>1</v>
      </c>
      <c r="R11" s="130">
        <f t="shared" si="13"/>
        <v>1</v>
      </c>
      <c r="S11" s="48">
        <v>2.2000000000000002</v>
      </c>
      <c r="T11" s="80">
        <f t="shared" si="14"/>
        <v>2</v>
      </c>
      <c r="U11" s="80">
        <f t="shared" si="15"/>
        <v>-1</v>
      </c>
      <c r="V11" s="83">
        <f t="shared" si="16"/>
        <v>2</v>
      </c>
      <c r="W11" s="80">
        <v>2</v>
      </c>
      <c r="X11" s="133">
        <v>5</v>
      </c>
      <c r="Y11" s="80">
        <f t="shared" si="8"/>
        <v>10</v>
      </c>
      <c r="Z11" s="135">
        <f t="shared" si="9"/>
        <v>2</v>
      </c>
    </row>
    <row r="12" spans="1:26" ht="15" x14ac:dyDescent="0.2">
      <c r="A12" s="6">
        <v>11</v>
      </c>
      <c r="B12" s="59" t="s">
        <v>22</v>
      </c>
      <c r="C12" s="63">
        <v>11.5077</v>
      </c>
      <c r="D12" s="64">
        <v>34.9</v>
      </c>
      <c r="E12" s="64">
        <f>(7+4)/2</f>
        <v>5.5</v>
      </c>
      <c r="F12" s="65">
        <f>E12/D12</f>
        <v>0.15759312320916907</v>
      </c>
      <c r="G12" s="66">
        <f>(600+608+741)/3</f>
        <v>649.66666666666663</v>
      </c>
      <c r="H12" s="67">
        <f t="shared" si="10"/>
        <v>3.0327519834545567</v>
      </c>
      <c r="I12" s="68">
        <f t="shared" si="1"/>
        <v>1</v>
      </c>
      <c r="J12" s="67">
        <f t="shared" si="2"/>
        <v>0.15759312320916907</v>
      </c>
      <c r="K12" s="68">
        <f t="shared" si="3"/>
        <v>1</v>
      </c>
      <c r="L12" s="69">
        <f t="shared" si="11"/>
        <v>8.4658799384299648E-3</v>
      </c>
      <c r="M12" s="68">
        <f t="shared" si="5"/>
        <v>1</v>
      </c>
      <c r="N12" s="70">
        <f t="shared" si="6"/>
        <v>1</v>
      </c>
      <c r="O12" s="71">
        <f t="shared" si="7"/>
        <v>1</v>
      </c>
      <c r="P12" s="82">
        <v>2</v>
      </c>
      <c r="Q12" s="126">
        <f t="shared" si="12"/>
        <v>2</v>
      </c>
      <c r="R12" s="130">
        <f t="shared" si="13"/>
        <v>1</v>
      </c>
      <c r="S12" s="48">
        <v>2.6</v>
      </c>
      <c r="T12" s="80">
        <f t="shared" si="14"/>
        <v>3</v>
      </c>
      <c r="U12" s="80">
        <f t="shared" si="15"/>
        <v>-2</v>
      </c>
      <c r="V12" s="84">
        <f t="shared" si="16"/>
        <v>1</v>
      </c>
      <c r="W12" s="80">
        <v>2</v>
      </c>
      <c r="X12" s="133">
        <v>5</v>
      </c>
      <c r="Y12" s="80">
        <f t="shared" si="8"/>
        <v>10</v>
      </c>
      <c r="Z12" s="135">
        <f t="shared" si="9"/>
        <v>2</v>
      </c>
    </row>
    <row r="13" spans="1:26" ht="15" x14ac:dyDescent="0.2">
      <c r="A13" s="6">
        <v>12</v>
      </c>
      <c r="B13" s="59" t="s">
        <v>42</v>
      </c>
      <c r="C13" s="63">
        <v>7.4941999999999993</v>
      </c>
      <c r="D13" s="64">
        <v>151.69999999999999</v>
      </c>
      <c r="E13" s="64">
        <f>(82+93+47)/3</f>
        <v>74</v>
      </c>
      <c r="F13" s="65">
        <v>1.3</v>
      </c>
      <c r="G13" s="66">
        <f>(1493+1538+1554)/3</f>
        <v>1528.3333333333333</v>
      </c>
      <c r="H13" s="67">
        <f t="shared" si="10"/>
        <v>20.242320728029675</v>
      </c>
      <c r="I13" s="68">
        <f t="shared" si="1"/>
        <v>3</v>
      </c>
      <c r="J13" s="67">
        <f t="shared" si="2"/>
        <v>1.3</v>
      </c>
      <c r="K13" s="68">
        <f t="shared" si="3"/>
        <v>3</v>
      </c>
      <c r="L13" s="69">
        <f t="shared" si="11"/>
        <v>4.841875681570338E-2</v>
      </c>
      <c r="M13" s="68">
        <f t="shared" si="5"/>
        <v>3</v>
      </c>
      <c r="N13" s="70">
        <f t="shared" si="6"/>
        <v>3</v>
      </c>
      <c r="O13" s="71">
        <f t="shared" si="7"/>
        <v>3</v>
      </c>
      <c r="P13" s="82">
        <v>2</v>
      </c>
      <c r="Q13" s="126">
        <f t="shared" si="12"/>
        <v>6</v>
      </c>
      <c r="R13" s="130">
        <f t="shared" si="13"/>
        <v>3</v>
      </c>
      <c r="S13" s="48">
        <v>1.4</v>
      </c>
      <c r="T13" s="80">
        <f t="shared" si="14"/>
        <v>1</v>
      </c>
      <c r="U13" s="80">
        <f t="shared" si="15"/>
        <v>2</v>
      </c>
      <c r="V13" s="85">
        <f t="shared" si="16"/>
        <v>4</v>
      </c>
      <c r="W13" s="80">
        <v>2</v>
      </c>
      <c r="X13" s="133">
        <v>5</v>
      </c>
      <c r="Y13" s="80">
        <f t="shared" si="8"/>
        <v>10</v>
      </c>
      <c r="Z13" s="135">
        <f t="shared" si="9"/>
        <v>2</v>
      </c>
    </row>
    <row r="14" spans="1:26" ht="15" x14ac:dyDescent="0.2">
      <c r="A14" s="6">
        <v>13</v>
      </c>
      <c r="B14" s="59" t="s">
        <v>23</v>
      </c>
      <c r="C14" s="63">
        <v>4.7988999999999997</v>
      </c>
      <c r="D14" s="64">
        <v>46.2</v>
      </c>
      <c r="E14" s="64">
        <f>(8+7+24)/3</f>
        <v>13</v>
      </c>
      <c r="F14" s="65">
        <v>1</v>
      </c>
      <c r="G14" s="66">
        <f>(1039+1045+1051)/3</f>
        <v>1045</v>
      </c>
      <c r="H14" s="67">
        <f t="shared" si="10"/>
        <v>9.6272062347621343</v>
      </c>
      <c r="I14" s="68">
        <f t="shared" si="1"/>
        <v>2</v>
      </c>
      <c r="J14" s="67">
        <f t="shared" si="2"/>
        <v>1</v>
      </c>
      <c r="K14" s="68">
        <f t="shared" si="3"/>
        <v>3</v>
      </c>
      <c r="L14" s="69">
        <f t="shared" si="11"/>
        <v>1.2440191387559809E-2</v>
      </c>
      <c r="M14" s="68">
        <f t="shared" si="5"/>
        <v>1</v>
      </c>
      <c r="N14" s="70">
        <f t="shared" si="6"/>
        <v>1.9</v>
      </c>
      <c r="O14" s="71">
        <f t="shared" si="7"/>
        <v>2</v>
      </c>
      <c r="P14" s="82">
        <v>3</v>
      </c>
      <c r="Q14" s="126">
        <f t="shared" si="12"/>
        <v>6</v>
      </c>
      <c r="R14" s="130">
        <f t="shared" si="13"/>
        <v>3</v>
      </c>
      <c r="S14" s="48">
        <v>1.8</v>
      </c>
      <c r="T14" s="80">
        <f t="shared" si="14"/>
        <v>2</v>
      </c>
      <c r="U14" s="80">
        <f t="shared" si="15"/>
        <v>1</v>
      </c>
      <c r="V14" s="86">
        <f t="shared" si="16"/>
        <v>3</v>
      </c>
      <c r="W14" s="80">
        <v>2</v>
      </c>
      <c r="X14" s="133">
        <v>6</v>
      </c>
      <c r="Y14" s="80">
        <f t="shared" si="8"/>
        <v>12</v>
      </c>
      <c r="Z14" s="136">
        <f t="shared" si="9"/>
        <v>3</v>
      </c>
    </row>
    <row r="15" spans="1:26" ht="15" x14ac:dyDescent="0.2">
      <c r="A15" s="6">
        <v>14</v>
      </c>
      <c r="B15" s="59" t="s">
        <v>24</v>
      </c>
      <c r="C15" s="63">
        <v>10.325699999999999</v>
      </c>
      <c r="D15" s="64">
        <f>(91.4+99.2)/2</f>
        <v>95.300000000000011</v>
      </c>
      <c r="E15" s="64">
        <f>(27+25+33)/3</f>
        <v>28.333333333333332</v>
      </c>
      <c r="F15" s="65">
        <v>0.1</v>
      </c>
      <c r="G15" s="66">
        <f>(1724+1783+1783)/3</f>
        <v>1763.3333333333333</v>
      </c>
      <c r="H15" s="67">
        <f t="shared" si="10"/>
        <v>9.2293984911434599</v>
      </c>
      <c r="I15" s="68">
        <f t="shared" si="1"/>
        <v>2</v>
      </c>
      <c r="J15" s="67">
        <f t="shared" si="2"/>
        <v>0.1</v>
      </c>
      <c r="K15" s="68">
        <f t="shared" si="3"/>
        <v>1</v>
      </c>
      <c r="L15" s="69">
        <f t="shared" si="11"/>
        <v>1.6068052930056712E-2</v>
      </c>
      <c r="M15" s="68">
        <f t="shared" si="5"/>
        <v>2</v>
      </c>
      <c r="N15" s="70">
        <f t="shared" si="6"/>
        <v>1.7</v>
      </c>
      <c r="O15" s="71">
        <f t="shared" si="7"/>
        <v>2</v>
      </c>
      <c r="P15" s="82">
        <v>2</v>
      </c>
      <c r="Q15" s="126">
        <f t="shared" si="12"/>
        <v>4</v>
      </c>
      <c r="R15" s="130">
        <f t="shared" si="13"/>
        <v>2</v>
      </c>
      <c r="S15" s="48">
        <v>1.6</v>
      </c>
      <c r="T15" s="80">
        <f t="shared" si="14"/>
        <v>2</v>
      </c>
      <c r="U15" s="80">
        <f t="shared" si="15"/>
        <v>0</v>
      </c>
      <c r="V15" s="84">
        <f t="shared" si="16"/>
        <v>2</v>
      </c>
      <c r="W15" s="80">
        <v>2</v>
      </c>
      <c r="X15" s="133">
        <v>5</v>
      </c>
      <c r="Y15" s="80">
        <f t="shared" si="8"/>
        <v>10</v>
      </c>
      <c r="Z15" s="135">
        <f t="shared" si="9"/>
        <v>2</v>
      </c>
    </row>
    <row r="16" spans="1:26" ht="15" x14ac:dyDescent="0.2">
      <c r="A16" s="6">
        <v>15</v>
      </c>
      <c r="B16" s="59" t="s">
        <v>25</v>
      </c>
      <c r="C16" s="63">
        <v>7.9854999999999992</v>
      </c>
      <c r="D16" s="64">
        <v>51.1</v>
      </c>
      <c r="E16" s="64">
        <f>(4+9+5)/3</f>
        <v>6</v>
      </c>
      <c r="F16" s="65">
        <v>0.1</v>
      </c>
      <c r="G16" s="66">
        <f>(974+981+1000)/3</f>
        <v>985</v>
      </c>
      <c r="H16" s="67">
        <f t="shared" si="10"/>
        <v>6.3990983657879914</v>
      </c>
      <c r="I16" s="68">
        <f t="shared" si="1"/>
        <v>1</v>
      </c>
      <c r="J16" s="67">
        <f t="shared" si="2"/>
        <v>0.1</v>
      </c>
      <c r="K16" s="68">
        <f t="shared" si="3"/>
        <v>1</v>
      </c>
      <c r="L16" s="69">
        <f t="shared" si="11"/>
        <v>6.0913705583756344E-3</v>
      </c>
      <c r="M16" s="68">
        <f t="shared" si="5"/>
        <v>1</v>
      </c>
      <c r="N16" s="70">
        <f t="shared" si="6"/>
        <v>1</v>
      </c>
      <c r="O16" s="71">
        <f t="shared" si="7"/>
        <v>1</v>
      </c>
      <c r="P16" s="82">
        <v>4</v>
      </c>
      <c r="Q16" s="126">
        <f t="shared" si="12"/>
        <v>4</v>
      </c>
      <c r="R16" s="130">
        <f t="shared" si="13"/>
        <v>2</v>
      </c>
      <c r="S16" s="49">
        <v>1.6</v>
      </c>
      <c r="T16" s="80">
        <f t="shared" si="14"/>
        <v>2</v>
      </c>
      <c r="U16" s="80">
        <f t="shared" si="15"/>
        <v>0</v>
      </c>
      <c r="V16" s="84">
        <f t="shared" si="16"/>
        <v>2</v>
      </c>
      <c r="W16" s="80">
        <v>2</v>
      </c>
      <c r="X16" s="133">
        <v>6</v>
      </c>
      <c r="Y16" s="80">
        <f t="shared" si="8"/>
        <v>12</v>
      </c>
      <c r="Z16" s="136">
        <f t="shared" si="9"/>
        <v>3</v>
      </c>
    </row>
    <row r="17" spans="1:26" ht="15" x14ac:dyDescent="0.2">
      <c r="A17" s="6">
        <v>16</v>
      </c>
      <c r="B17" s="59" t="s">
        <v>26</v>
      </c>
      <c r="C17" s="63">
        <v>12.9291</v>
      </c>
      <c r="D17" s="64">
        <v>41.1</v>
      </c>
      <c r="E17" s="64">
        <f>(14+9+8)/3</f>
        <v>10.333333333333334</v>
      </c>
      <c r="F17" s="65">
        <v>0.8</v>
      </c>
      <c r="G17" s="66">
        <f>(579+579+612)/3</f>
        <v>590</v>
      </c>
      <c r="H17" s="67">
        <f t="shared" si="10"/>
        <v>3.1788755597837439</v>
      </c>
      <c r="I17" s="68">
        <f t="shared" si="1"/>
        <v>1</v>
      </c>
      <c r="J17" s="67">
        <f t="shared" si="2"/>
        <v>0.8</v>
      </c>
      <c r="K17" s="68">
        <f t="shared" si="3"/>
        <v>2</v>
      </c>
      <c r="L17" s="69">
        <f t="shared" si="11"/>
        <v>1.7514124293785311E-2</v>
      </c>
      <c r="M17" s="68">
        <f t="shared" si="5"/>
        <v>2</v>
      </c>
      <c r="N17" s="70">
        <f t="shared" si="6"/>
        <v>1.7</v>
      </c>
      <c r="O17" s="71">
        <f t="shared" si="7"/>
        <v>2</v>
      </c>
      <c r="P17" s="82">
        <v>4</v>
      </c>
      <c r="Q17" s="126">
        <f t="shared" si="12"/>
        <v>8</v>
      </c>
      <c r="R17" s="130">
        <f t="shared" si="13"/>
        <v>3</v>
      </c>
      <c r="S17" s="48">
        <v>1.4</v>
      </c>
      <c r="T17" s="80">
        <f t="shared" si="14"/>
        <v>1</v>
      </c>
      <c r="U17" s="80">
        <f t="shared" si="15"/>
        <v>2</v>
      </c>
      <c r="V17" s="85">
        <f t="shared" si="16"/>
        <v>4</v>
      </c>
      <c r="W17" s="80">
        <v>2</v>
      </c>
      <c r="X17" s="133">
        <v>6</v>
      </c>
      <c r="Y17" s="80">
        <f t="shared" si="8"/>
        <v>12</v>
      </c>
      <c r="Z17" s="136">
        <f t="shared" si="9"/>
        <v>3</v>
      </c>
    </row>
    <row r="18" spans="1:26" ht="15" x14ac:dyDescent="0.2">
      <c r="A18" s="6">
        <v>17</v>
      </c>
      <c r="B18" s="59" t="s">
        <v>27</v>
      </c>
      <c r="C18" s="63">
        <v>13.503699999999998</v>
      </c>
      <c r="D18" s="64">
        <v>30.9</v>
      </c>
      <c r="E18" s="64">
        <f>(30+8+18)/3</f>
        <v>18.666666666666668</v>
      </c>
      <c r="F18" s="65">
        <f>E18/D18</f>
        <v>0.60409924487594402</v>
      </c>
      <c r="G18" s="66">
        <f>(685+686+690)/3</f>
        <v>687</v>
      </c>
      <c r="H18" s="67">
        <f t="shared" si="10"/>
        <v>2.2882617356724455</v>
      </c>
      <c r="I18" s="68">
        <f t="shared" si="1"/>
        <v>1</v>
      </c>
      <c r="J18" s="67">
        <f t="shared" si="2"/>
        <v>0.60409924487594402</v>
      </c>
      <c r="K18" s="68">
        <f t="shared" si="3"/>
        <v>2</v>
      </c>
      <c r="L18" s="69">
        <f t="shared" si="11"/>
        <v>2.7171276079573023E-2</v>
      </c>
      <c r="M18" s="68">
        <f t="shared" si="5"/>
        <v>2</v>
      </c>
      <c r="N18" s="70">
        <f t="shared" si="6"/>
        <v>1.7</v>
      </c>
      <c r="O18" s="71">
        <f t="shared" si="7"/>
        <v>2</v>
      </c>
      <c r="P18" s="82">
        <v>4</v>
      </c>
      <c r="Q18" s="126">
        <f t="shared" si="12"/>
        <v>8</v>
      </c>
      <c r="R18" s="130">
        <f t="shared" si="13"/>
        <v>3</v>
      </c>
      <c r="S18" s="48">
        <v>2.2000000000000002</v>
      </c>
      <c r="T18" s="80">
        <f t="shared" si="14"/>
        <v>2</v>
      </c>
      <c r="U18" s="80">
        <f t="shared" si="15"/>
        <v>1</v>
      </c>
      <c r="V18" s="85">
        <f t="shared" si="16"/>
        <v>3</v>
      </c>
      <c r="W18" s="80">
        <v>2</v>
      </c>
      <c r="X18" s="133">
        <v>6</v>
      </c>
      <c r="Y18" s="80">
        <f t="shared" si="8"/>
        <v>12</v>
      </c>
      <c r="Z18" s="136">
        <f t="shared" si="9"/>
        <v>3</v>
      </c>
    </row>
    <row r="19" spans="1:26" ht="15" x14ac:dyDescent="0.2">
      <c r="A19" s="6">
        <v>18</v>
      </c>
      <c r="B19" s="59" t="s">
        <v>28</v>
      </c>
      <c r="C19" s="63">
        <v>8.4147999999999996</v>
      </c>
      <c r="D19" s="64">
        <v>99.45</v>
      </c>
      <c r="E19" s="64">
        <f>(8+8+11)/3</f>
        <v>9</v>
      </c>
      <c r="F19" s="65">
        <f>E19/D19</f>
        <v>9.0497737556561084E-2</v>
      </c>
      <c r="G19" s="66">
        <f>(1674+1699+1708)/3</f>
        <v>1693.6666666666667</v>
      </c>
      <c r="H19" s="67">
        <f t="shared" si="10"/>
        <v>11.818462708561107</v>
      </c>
      <c r="I19" s="68">
        <f t="shared" si="1"/>
        <v>2</v>
      </c>
      <c r="J19" s="67">
        <f t="shared" si="2"/>
        <v>9.0497737556561084E-2</v>
      </c>
      <c r="K19" s="68">
        <f t="shared" si="3"/>
        <v>1</v>
      </c>
      <c r="L19" s="69">
        <f t="shared" si="11"/>
        <v>5.3139145837433578E-3</v>
      </c>
      <c r="M19" s="68">
        <f t="shared" si="5"/>
        <v>1</v>
      </c>
      <c r="N19" s="70">
        <f t="shared" si="6"/>
        <v>1.2999999999999998</v>
      </c>
      <c r="O19" s="71">
        <f t="shared" si="7"/>
        <v>1</v>
      </c>
      <c r="P19" s="82">
        <v>4</v>
      </c>
      <c r="Q19" s="126">
        <f t="shared" si="12"/>
        <v>4</v>
      </c>
      <c r="R19" s="130">
        <f t="shared" si="13"/>
        <v>2</v>
      </c>
      <c r="S19" s="48">
        <v>1.2</v>
      </c>
      <c r="T19" s="80">
        <f t="shared" si="14"/>
        <v>1</v>
      </c>
      <c r="U19" s="80">
        <f t="shared" si="15"/>
        <v>1</v>
      </c>
      <c r="V19" s="85">
        <f t="shared" si="16"/>
        <v>3</v>
      </c>
      <c r="W19" s="80">
        <v>2</v>
      </c>
      <c r="X19" s="133">
        <v>6</v>
      </c>
      <c r="Y19" s="80">
        <f t="shared" si="8"/>
        <v>12</v>
      </c>
      <c r="Z19" s="136">
        <f t="shared" si="9"/>
        <v>3</v>
      </c>
    </row>
    <row r="20" spans="1:26" ht="15" x14ac:dyDescent="0.2">
      <c r="A20" s="6">
        <v>19</v>
      </c>
      <c r="B20" s="59" t="s">
        <v>29</v>
      </c>
      <c r="C20" s="63">
        <v>9.6488999999999994</v>
      </c>
      <c r="D20" s="64">
        <v>96.8</v>
      </c>
      <c r="E20" s="64">
        <f>(34+34+21)/3</f>
        <v>29.666666666666668</v>
      </c>
      <c r="F20" s="65">
        <f>E20/D20</f>
        <v>0.30647382920110194</v>
      </c>
      <c r="G20" s="66">
        <f>(994+1005+1058)/3</f>
        <v>1019</v>
      </c>
      <c r="H20" s="67">
        <f t="shared" si="10"/>
        <v>10.032231653349086</v>
      </c>
      <c r="I20" s="68">
        <f t="shared" si="1"/>
        <v>2</v>
      </c>
      <c r="J20" s="67">
        <f t="shared" si="2"/>
        <v>0.30647382920110194</v>
      </c>
      <c r="K20" s="68">
        <f t="shared" si="3"/>
        <v>2</v>
      </c>
      <c r="L20" s="69">
        <f t="shared" si="11"/>
        <v>2.9113509977101736E-2</v>
      </c>
      <c r="M20" s="68">
        <f t="shared" si="5"/>
        <v>2</v>
      </c>
      <c r="N20" s="70">
        <f t="shared" si="6"/>
        <v>2</v>
      </c>
      <c r="O20" s="71">
        <f t="shared" si="7"/>
        <v>3</v>
      </c>
      <c r="P20" s="82">
        <v>2</v>
      </c>
      <c r="Q20" s="126">
        <f t="shared" si="12"/>
        <v>6</v>
      </c>
      <c r="R20" s="130">
        <f t="shared" si="13"/>
        <v>3</v>
      </c>
      <c r="S20" s="48">
        <v>1.8</v>
      </c>
      <c r="T20" s="80">
        <f t="shared" si="14"/>
        <v>2</v>
      </c>
      <c r="U20" s="80">
        <f t="shared" si="15"/>
        <v>1</v>
      </c>
      <c r="V20" s="84">
        <f t="shared" si="16"/>
        <v>3</v>
      </c>
      <c r="W20" s="80">
        <v>2</v>
      </c>
      <c r="X20" s="133">
        <v>5</v>
      </c>
      <c r="Y20" s="80">
        <f t="shared" si="8"/>
        <v>10</v>
      </c>
      <c r="Z20" s="135">
        <f t="shared" si="9"/>
        <v>2</v>
      </c>
    </row>
    <row r="21" spans="1:26" ht="15" x14ac:dyDescent="0.2">
      <c r="A21" s="6">
        <v>20</v>
      </c>
      <c r="B21" s="59" t="s">
        <v>30</v>
      </c>
      <c r="C21" s="63">
        <v>5.9207000000000001</v>
      </c>
      <c r="D21" s="64">
        <v>110.2</v>
      </c>
      <c r="E21" s="64">
        <f>(13+13+10)/3</f>
        <v>12</v>
      </c>
      <c r="F21" s="65">
        <v>0.1</v>
      </c>
      <c r="G21" s="66">
        <f>(587+587+626)/3</f>
        <v>600</v>
      </c>
      <c r="H21" s="67">
        <f t="shared" si="10"/>
        <v>18.612664043103013</v>
      </c>
      <c r="I21" s="68">
        <f t="shared" si="1"/>
        <v>3</v>
      </c>
      <c r="J21" s="67">
        <f t="shared" si="2"/>
        <v>0.1</v>
      </c>
      <c r="K21" s="68">
        <f t="shared" si="3"/>
        <v>1</v>
      </c>
      <c r="L21" s="69">
        <f t="shared" si="11"/>
        <v>0.02</v>
      </c>
      <c r="M21" s="68">
        <f t="shared" si="5"/>
        <v>2</v>
      </c>
      <c r="N21" s="70">
        <f t="shared" si="6"/>
        <v>2</v>
      </c>
      <c r="O21" s="71">
        <f t="shared" si="7"/>
        <v>3</v>
      </c>
      <c r="P21" s="82">
        <v>3</v>
      </c>
      <c r="Q21" s="126">
        <f t="shared" si="12"/>
        <v>9</v>
      </c>
      <c r="R21" s="130">
        <f t="shared" si="13"/>
        <v>3</v>
      </c>
      <c r="S21" s="48">
        <v>2</v>
      </c>
      <c r="T21" s="80">
        <f t="shared" si="14"/>
        <v>2</v>
      </c>
      <c r="U21" s="80">
        <f t="shared" si="15"/>
        <v>1</v>
      </c>
      <c r="V21" s="85">
        <f t="shared" si="16"/>
        <v>3</v>
      </c>
      <c r="W21" s="80">
        <v>2</v>
      </c>
      <c r="X21" s="133">
        <v>6</v>
      </c>
      <c r="Y21" s="80">
        <f t="shared" si="8"/>
        <v>12</v>
      </c>
      <c r="Z21" s="136">
        <f t="shared" si="9"/>
        <v>3</v>
      </c>
    </row>
    <row r="22" spans="1:26" ht="15" x14ac:dyDescent="0.2">
      <c r="A22" s="6">
        <v>21</v>
      </c>
      <c r="B22" s="59" t="s">
        <v>31</v>
      </c>
      <c r="C22" s="63">
        <v>9.6622000000000003</v>
      </c>
      <c r="D22" s="64">
        <v>41.4</v>
      </c>
      <c r="E22" s="64">
        <f>(1+3+4)/3</f>
        <v>2.6666666666666665</v>
      </c>
      <c r="F22" s="65">
        <v>0.1</v>
      </c>
      <c r="G22" s="66">
        <f>(401+510+541)/3</f>
        <v>484</v>
      </c>
      <c r="H22" s="67">
        <f t="shared" si="10"/>
        <v>4.2847384653598555</v>
      </c>
      <c r="I22" s="68">
        <f t="shared" si="1"/>
        <v>1</v>
      </c>
      <c r="J22" s="67">
        <f t="shared" si="2"/>
        <v>0.1</v>
      </c>
      <c r="K22" s="68">
        <f t="shared" si="3"/>
        <v>1</v>
      </c>
      <c r="L22" s="69">
        <f t="shared" si="11"/>
        <v>5.5096418732782362E-3</v>
      </c>
      <c r="M22" s="68">
        <f t="shared" si="5"/>
        <v>1</v>
      </c>
      <c r="N22" s="70">
        <f t="shared" si="6"/>
        <v>1</v>
      </c>
      <c r="O22" s="71">
        <f t="shared" si="7"/>
        <v>1</v>
      </c>
      <c r="P22" s="82">
        <v>3</v>
      </c>
      <c r="Q22" s="126">
        <f t="shared" si="12"/>
        <v>3</v>
      </c>
      <c r="R22" s="130">
        <f t="shared" si="13"/>
        <v>2</v>
      </c>
      <c r="S22" s="48">
        <v>2</v>
      </c>
      <c r="T22" s="80">
        <f t="shared" si="14"/>
        <v>2</v>
      </c>
      <c r="U22" s="80">
        <f t="shared" si="15"/>
        <v>0</v>
      </c>
      <c r="V22" s="84">
        <f t="shared" si="16"/>
        <v>2</v>
      </c>
      <c r="W22" s="80">
        <v>2</v>
      </c>
      <c r="X22" s="133">
        <v>6</v>
      </c>
      <c r="Y22" s="80">
        <f t="shared" si="8"/>
        <v>12</v>
      </c>
      <c r="Z22" s="136">
        <f t="shared" si="9"/>
        <v>3</v>
      </c>
    </row>
    <row r="23" spans="1:26" ht="15" x14ac:dyDescent="0.2">
      <c r="A23" s="6">
        <v>22</v>
      </c>
      <c r="B23" s="59" t="s">
        <v>32</v>
      </c>
      <c r="C23" s="63">
        <v>31.976300000000002</v>
      </c>
      <c r="D23" s="64">
        <f>(363.9+396.1)/2</f>
        <v>380</v>
      </c>
      <c r="E23" s="64">
        <f>(319+304+330)/3</f>
        <v>317.66666666666669</v>
      </c>
      <c r="F23" s="65">
        <v>1.3</v>
      </c>
      <c r="G23" s="66">
        <f>(7915+8062+7853)/3</f>
        <v>7943.333333333333</v>
      </c>
      <c r="H23" s="67">
        <f t="shared" si="10"/>
        <v>11.883801440441827</v>
      </c>
      <c r="I23" s="68">
        <f t="shared" si="1"/>
        <v>2</v>
      </c>
      <c r="J23" s="67">
        <f t="shared" si="2"/>
        <v>1.3</v>
      </c>
      <c r="K23" s="68">
        <f t="shared" si="3"/>
        <v>3</v>
      </c>
      <c r="L23" s="69">
        <f t="shared" si="11"/>
        <v>3.9991607217792699E-2</v>
      </c>
      <c r="M23" s="68">
        <f t="shared" si="5"/>
        <v>3</v>
      </c>
      <c r="N23" s="70">
        <f t="shared" si="6"/>
        <v>2.7</v>
      </c>
      <c r="O23" s="71">
        <f t="shared" si="7"/>
        <v>3</v>
      </c>
      <c r="P23" s="82">
        <v>4</v>
      </c>
      <c r="Q23" s="126">
        <f t="shared" si="12"/>
        <v>12</v>
      </c>
      <c r="R23" s="130">
        <f t="shared" si="13"/>
        <v>4</v>
      </c>
      <c r="S23" s="48">
        <v>2.6</v>
      </c>
      <c r="T23" s="80">
        <f t="shared" si="14"/>
        <v>3</v>
      </c>
      <c r="U23" s="80">
        <f t="shared" si="15"/>
        <v>1</v>
      </c>
      <c r="V23" s="85">
        <f t="shared" si="16"/>
        <v>3</v>
      </c>
      <c r="W23" s="80">
        <v>2</v>
      </c>
      <c r="X23" s="133">
        <v>6</v>
      </c>
      <c r="Y23" s="80">
        <f t="shared" si="8"/>
        <v>12</v>
      </c>
      <c r="Z23" s="136">
        <f t="shared" si="9"/>
        <v>3</v>
      </c>
    </row>
    <row r="24" spans="1:26" ht="15" x14ac:dyDescent="0.2">
      <c r="A24" s="6">
        <v>23</v>
      </c>
      <c r="B24" s="59" t="s">
        <v>33</v>
      </c>
      <c r="C24" s="63">
        <v>10.990699999999999</v>
      </c>
      <c r="D24" s="64">
        <v>73.2</v>
      </c>
      <c r="E24" s="64">
        <f>(15+14+20)/3</f>
        <v>16.333333333333332</v>
      </c>
      <c r="F24" s="65">
        <v>3.9</v>
      </c>
      <c r="G24" s="66">
        <f>(1358+1400+1433)/3</f>
        <v>1397</v>
      </c>
      <c r="H24" s="67">
        <f t="shared" si="10"/>
        <v>6.6601763308979418</v>
      </c>
      <c r="I24" s="68">
        <f t="shared" si="1"/>
        <v>1</v>
      </c>
      <c r="J24" s="67">
        <f t="shared" si="2"/>
        <v>3.9</v>
      </c>
      <c r="K24" s="68">
        <f t="shared" si="3"/>
        <v>3</v>
      </c>
      <c r="L24" s="69">
        <f t="shared" si="11"/>
        <v>1.1691720353137675E-2</v>
      </c>
      <c r="M24" s="68">
        <f t="shared" si="5"/>
        <v>1</v>
      </c>
      <c r="N24" s="70">
        <f t="shared" si="6"/>
        <v>1.6</v>
      </c>
      <c r="O24" s="71">
        <f t="shared" si="7"/>
        <v>2</v>
      </c>
      <c r="P24" s="82">
        <v>4</v>
      </c>
      <c r="Q24" s="126">
        <f t="shared" si="12"/>
        <v>8</v>
      </c>
      <c r="R24" s="130">
        <f t="shared" si="13"/>
        <v>3</v>
      </c>
      <c r="S24" s="48">
        <v>1.4</v>
      </c>
      <c r="T24" s="80">
        <f t="shared" si="14"/>
        <v>1</v>
      </c>
      <c r="U24" s="80">
        <f t="shared" si="15"/>
        <v>2</v>
      </c>
      <c r="V24" s="85">
        <f t="shared" si="16"/>
        <v>4</v>
      </c>
      <c r="W24" s="80">
        <v>2</v>
      </c>
      <c r="X24" s="133">
        <v>6</v>
      </c>
      <c r="Y24" s="80">
        <f t="shared" si="8"/>
        <v>12</v>
      </c>
      <c r="Z24" s="136">
        <f t="shared" si="9"/>
        <v>3</v>
      </c>
    </row>
    <row r="25" spans="1:26" ht="15" x14ac:dyDescent="0.2">
      <c r="A25" s="6">
        <v>24</v>
      </c>
      <c r="B25" s="59" t="s">
        <v>34</v>
      </c>
      <c r="C25" s="63">
        <v>6.5888999999999998</v>
      </c>
      <c r="D25" s="64">
        <v>22.5</v>
      </c>
      <c r="E25" s="64">
        <f>(20+10+5)/3</f>
        <v>11.666666666666666</v>
      </c>
      <c r="F25" s="65">
        <v>0.4</v>
      </c>
      <c r="G25" s="66">
        <f>(311+375+375)/3</f>
        <v>353.66666666666669</v>
      </c>
      <c r="H25" s="67">
        <f t="shared" si="10"/>
        <v>3.4148340390657017</v>
      </c>
      <c r="I25" s="68">
        <f t="shared" si="1"/>
        <v>1</v>
      </c>
      <c r="J25" s="67">
        <f t="shared" si="2"/>
        <v>0.4</v>
      </c>
      <c r="K25" s="68">
        <f t="shared" si="3"/>
        <v>2</v>
      </c>
      <c r="L25" s="69">
        <f t="shared" si="11"/>
        <v>3.2987747408105554E-2</v>
      </c>
      <c r="M25" s="68">
        <f t="shared" si="5"/>
        <v>2</v>
      </c>
      <c r="N25" s="70">
        <f t="shared" si="6"/>
        <v>1.7</v>
      </c>
      <c r="O25" s="71">
        <f t="shared" si="7"/>
        <v>2</v>
      </c>
      <c r="P25" s="82">
        <v>2</v>
      </c>
      <c r="Q25" s="126">
        <f t="shared" si="12"/>
        <v>4</v>
      </c>
      <c r="R25" s="130">
        <f t="shared" si="13"/>
        <v>2</v>
      </c>
      <c r="S25" s="48">
        <v>2.8</v>
      </c>
      <c r="T25" s="80">
        <f t="shared" si="14"/>
        <v>3</v>
      </c>
      <c r="U25" s="80">
        <f t="shared" si="15"/>
        <v>-1</v>
      </c>
      <c r="V25" s="84">
        <f t="shared" si="16"/>
        <v>2</v>
      </c>
      <c r="W25" s="80">
        <v>2</v>
      </c>
      <c r="X25" s="133">
        <v>5</v>
      </c>
      <c r="Y25" s="80">
        <f t="shared" si="8"/>
        <v>10</v>
      </c>
      <c r="Z25" s="135">
        <f t="shared" si="9"/>
        <v>2</v>
      </c>
    </row>
    <row r="26" spans="1:26" ht="15" x14ac:dyDescent="0.2">
      <c r="A26" s="6">
        <v>25</v>
      </c>
      <c r="B26" s="59" t="s">
        <v>35</v>
      </c>
      <c r="C26" s="63">
        <v>5.2039999999999997</v>
      </c>
      <c r="D26" s="64">
        <v>56.3</v>
      </c>
      <c r="E26" s="64">
        <f>(24+3+16)/3</f>
        <v>14.333333333333334</v>
      </c>
      <c r="F26" s="65">
        <v>0.9</v>
      </c>
      <c r="G26" s="66">
        <f>(1144+1153+1174)/3</f>
        <v>1157</v>
      </c>
      <c r="H26" s="67">
        <f t="shared" si="10"/>
        <v>10.818601076095311</v>
      </c>
      <c r="I26" s="68">
        <f t="shared" si="1"/>
        <v>2</v>
      </c>
      <c r="J26" s="67">
        <f t="shared" si="2"/>
        <v>0.9</v>
      </c>
      <c r="K26" s="68">
        <f t="shared" si="3"/>
        <v>2</v>
      </c>
      <c r="L26" s="69">
        <f t="shared" si="11"/>
        <v>1.2388360702967446E-2</v>
      </c>
      <c r="M26" s="68">
        <f t="shared" si="5"/>
        <v>1</v>
      </c>
      <c r="N26" s="70">
        <f t="shared" si="6"/>
        <v>1.6</v>
      </c>
      <c r="O26" s="71">
        <f t="shared" si="7"/>
        <v>2</v>
      </c>
      <c r="P26" s="82">
        <v>0</v>
      </c>
      <c r="Q26" s="127">
        <v>0</v>
      </c>
      <c r="R26" s="71">
        <v>0</v>
      </c>
      <c r="S26" s="48">
        <v>2</v>
      </c>
      <c r="T26" s="80">
        <v>0</v>
      </c>
      <c r="U26" s="82">
        <v>0</v>
      </c>
      <c r="V26" s="91">
        <v>0</v>
      </c>
      <c r="W26" s="80">
        <v>2</v>
      </c>
      <c r="X26" s="133">
        <v>5</v>
      </c>
      <c r="Y26" s="80">
        <f t="shared" si="8"/>
        <v>10</v>
      </c>
      <c r="Z26" s="135">
        <f t="shared" si="9"/>
        <v>2</v>
      </c>
    </row>
    <row r="27" spans="1:26" ht="15.75" thickBot="1" x14ac:dyDescent="0.25">
      <c r="A27" s="7">
        <v>26</v>
      </c>
      <c r="B27" s="62" t="s">
        <v>36</v>
      </c>
      <c r="C27" s="72">
        <v>8.3988999999999994</v>
      </c>
      <c r="D27" s="73">
        <v>92.5</v>
      </c>
      <c r="E27" s="73">
        <f>(17+27+18)/3</f>
        <v>20.666666666666668</v>
      </c>
      <c r="F27" s="74">
        <f>E27/D27</f>
        <v>0.22342342342342345</v>
      </c>
      <c r="G27" s="75">
        <f>(585+601+616)/3</f>
        <v>600.66666666666663</v>
      </c>
      <c r="H27" s="76">
        <f t="shared" si="10"/>
        <v>11.013346985914824</v>
      </c>
      <c r="I27" s="77">
        <f t="shared" si="1"/>
        <v>2</v>
      </c>
      <c r="J27" s="76">
        <f t="shared" si="2"/>
        <v>0.22342342342342345</v>
      </c>
      <c r="K27" s="77">
        <f t="shared" si="3"/>
        <v>2</v>
      </c>
      <c r="L27" s="78">
        <f t="shared" si="11"/>
        <v>3.4406215316315207E-2</v>
      </c>
      <c r="M27" s="77">
        <f t="shared" si="5"/>
        <v>2</v>
      </c>
      <c r="N27" s="70">
        <f t="shared" si="6"/>
        <v>2</v>
      </c>
      <c r="O27" s="79">
        <f t="shared" si="7"/>
        <v>3</v>
      </c>
      <c r="P27" s="82">
        <v>3</v>
      </c>
      <c r="Q27" s="126">
        <f>O27*P27</f>
        <v>9</v>
      </c>
      <c r="R27" s="131">
        <f>IF(Q27&lt;3,1,IF(Q27&lt;5,2,IF(Q27&lt;12,3,4)))</f>
        <v>3</v>
      </c>
      <c r="S27" s="48">
        <v>1.4</v>
      </c>
      <c r="T27" s="80">
        <f>IF(S27&lt;1.5,1,IF(S27&lt;2.5,2,IF(S27&lt;3.3,3,4)))</f>
        <v>1</v>
      </c>
      <c r="U27" s="80">
        <f>R27-T27</f>
        <v>2</v>
      </c>
      <c r="V27" s="85">
        <f>IF(U27&lt;-1,1,IF(U27&lt;1,2,IF(U27=1,3,4)))</f>
        <v>4</v>
      </c>
      <c r="W27" s="80">
        <v>2</v>
      </c>
      <c r="X27" s="133">
        <v>6</v>
      </c>
      <c r="Y27" s="80">
        <f t="shared" si="8"/>
        <v>12</v>
      </c>
      <c r="Z27" s="136">
        <f t="shared" si="9"/>
        <v>3</v>
      </c>
    </row>
  </sheetData>
  <sortState xmlns:xlrd2="http://schemas.microsoft.com/office/spreadsheetml/2017/richdata2" ref="A2:Z27">
    <sortCondition ref="A2:A2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30729-0574-49A3-B16A-2D4AC94163BF}">
  <dimension ref="A1:Z27"/>
  <sheetViews>
    <sheetView zoomScale="80" zoomScaleNormal="8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8.7109375" defaultRowHeight="14.25" x14ac:dyDescent="0.2"/>
  <cols>
    <col min="1" max="1" width="8.7109375" style="1"/>
    <col min="2" max="2" width="24.85546875" style="1" customWidth="1"/>
    <col min="3" max="5" width="17.5703125" style="1" customWidth="1"/>
    <col min="6" max="6" width="20" style="1" customWidth="1"/>
    <col min="7" max="8" width="17.5703125" style="1" customWidth="1"/>
    <col min="9" max="9" width="20.42578125" style="1" customWidth="1"/>
    <col min="10" max="12" width="17.5703125" style="1" customWidth="1"/>
    <col min="13" max="13" width="19.140625" style="1" customWidth="1"/>
    <col min="14" max="14" width="17.5703125" style="1" customWidth="1"/>
    <col min="15" max="15" width="15.42578125" style="2" customWidth="1"/>
    <col min="16" max="16" width="21.28515625" style="2" customWidth="1"/>
    <col min="17" max="17" width="15.7109375" style="2" customWidth="1"/>
    <col min="18" max="18" width="16" style="2" customWidth="1"/>
    <col min="19" max="19" width="17" style="2" customWidth="1"/>
    <col min="20" max="20" width="19.140625" style="2" customWidth="1"/>
    <col min="21" max="21" width="16.85546875" style="2" customWidth="1"/>
    <col min="22" max="22" width="15.140625" style="2" customWidth="1"/>
    <col min="23" max="23" width="17.28515625" style="2" customWidth="1"/>
    <col min="24" max="24" width="16.85546875" style="2" customWidth="1"/>
    <col min="25" max="25" width="16.28515625" style="2" customWidth="1"/>
    <col min="26" max="26" width="16.42578125" style="1" customWidth="1"/>
    <col min="27" max="16384" width="8.7109375" style="1"/>
  </cols>
  <sheetData>
    <row r="1" spans="1:26" ht="150" x14ac:dyDescent="0.2">
      <c r="A1" s="4" t="s">
        <v>0</v>
      </c>
      <c r="B1" s="61" t="s">
        <v>1</v>
      </c>
      <c r="C1" s="34" t="s">
        <v>38</v>
      </c>
      <c r="D1" s="35" t="s">
        <v>53</v>
      </c>
      <c r="E1" s="35" t="s">
        <v>44</v>
      </c>
      <c r="F1" s="35" t="s">
        <v>46</v>
      </c>
      <c r="G1" s="36" t="s">
        <v>51</v>
      </c>
      <c r="H1" s="34" t="s">
        <v>43</v>
      </c>
      <c r="I1" s="36" t="s">
        <v>45</v>
      </c>
      <c r="J1" s="34" t="s">
        <v>39</v>
      </c>
      <c r="K1" s="36" t="s">
        <v>47</v>
      </c>
      <c r="L1" s="34" t="s">
        <v>48</v>
      </c>
      <c r="M1" s="36" t="s">
        <v>49</v>
      </c>
      <c r="N1" s="41" t="s">
        <v>50</v>
      </c>
      <c r="O1" s="39" t="s">
        <v>2</v>
      </c>
      <c r="P1" s="40" t="s">
        <v>3</v>
      </c>
      <c r="Q1" s="38" t="s">
        <v>4</v>
      </c>
      <c r="R1" s="39" t="s">
        <v>5</v>
      </c>
      <c r="S1" s="41" t="s">
        <v>54</v>
      </c>
      <c r="T1" s="39" t="s">
        <v>6</v>
      </c>
      <c r="U1" s="41" t="s">
        <v>7</v>
      </c>
      <c r="V1" s="39" t="s">
        <v>8</v>
      </c>
      <c r="W1" s="40" t="s">
        <v>9</v>
      </c>
      <c r="X1" s="40" t="s">
        <v>10</v>
      </c>
      <c r="Y1" s="40" t="s">
        <v>11</v>
      </c>
      <c r="Z1" s="40" t="s">
        <v>12</v>
      </c>
    </row>
    <row r="2" spans="1:26" ht="15" x14ac:dyDescent="0.2">
      <c r="A2" s="6">
        <v>1</v>
      </c>
      <c r="B2" s="59" t="s">
        <v>13</v>
      </c>
      <c r="C2" s="63">
        <v>19.836400000000001</v>
      </c>
      <c r="D2" s="64">
        <f>(210.6+211)/2</f>
        <v>210.8</v>
      </c>
      <c r="E2" s="64">
        <f>(19+16+47)/3</f>
        <v>27.333333333333332</v>
      </c>
      <c r="F2" s="65">
        <v>0.1</v>
      </c>
      <c r="G2" s="66">
        <f>(3248+3280+3317)/3</f>
        <v>3281.6666666666665</v>
      </c>
      <c r="H2" s="67">
        <f t="shared" ref="H2:H7" si="0">D2/C2</f>
        <v>10.626928273275393</v>
      </c>
      <c r="I2" s="68">
        <f t="shared" ref="I2:I27" si="1">IF(H2&lt;7,1,IF(H2&lt;12,2,3))</f>
        <v>2</v>
      </c>
      <c r="J2" s="67">
        <f t="shared" ref="J2:J27" si="2">F2</f>
        <v>0.1</v>
      </c>
      <c r="K2" s="68">
        <f t="shared" ref="K2:K27" si="3">IF(J2&lt;0.2,1,IF(J2&lt;1,2,3))</f>
        <v>1</v>
      </c>
      <c r="L2" s="69">
        <f t="shared" ref="L2:L7" si="4">E2/G2</f>
        <v>8.3291010665312339E-3</v>
      </c>
      <c r="M2" s="68">
        <f t="shared" ref="M2:M27" si="5">IF(L2&lt;0.015,1,IF(L2&lt;0.035,2,3))</f>
        <v>1</v>
      </c>
      <c r="N2" s="70">
        <f t="shared" ref="N2:N27" si="6">((I2*30%)+(K2*30%)+(M2*40%)/100%)</f>
        <v>1.2999999999999998</v>
      </c>
      <c r="O2" s="71">
        <f t="shared" ref="O2:O27" si="7">IF(N2&lt;1.6,1,IF(N2&lt;2,2,3))</f>
        <v>1</v>
      </c>
      <c r="P2" s="87">
        <v>1</v>
      </c>
      <c r="Q2" s="88">
        <f t="shared" ref="Q2:Q27" si="8">O2*P2</f>
        <v>1</v>
      </c>
      <c r="R2" s="89">
        <f t="shared" ref="R2:R27" si="9">IF(Q2&lt;3,1,IF(Q2&lt;5,2,IF(Q2&lt;12,3,4)))</f>
        <v>1</v>
      </c>
      <c r="S2" s="48">
        <v>1.4</v>
      </c>
      <c r="T2" s="89">
        <f t="shared" ref="T2:T27" si="10">IF(S2&lt;1.5,1,IF(S2&lt;2.5,2,IF(S2&lt;3.3,3,4)))</f>
        <v>1</v>
      </c>
      <c r="U2" s="92">
        <f t="shared" ref="U2:U27" si="11">R2-T2</f>
        <v>0</v>
      </c>
      <c r="V2" s="95">
        <f>IF(U2&lt;-1,1,IF(U2&lt;1,2,IF(U2=1,3,4)))</f>
        <v>2</v>
      </c>
      <c r="W2" s="53">
        <v>1</v>
      </c>
      <c r="X2" s="53">
        <v>5</v>
      </c>
      <c r="Y2" s="53">
        <f>W2*X2</f>
        <v>5</v>
      </c>
      <c r="Z2" s="137">
        <f>IF(Y2&lt;6,1,IF(Y2&lt;12,2,IF(Y2&lt;18,3,4)))</f>
        <v>1</v>
      </c>
    </row>
    <row r="3" spans="1:26" ht="15" x14ac:dyDescent="0.2">
      <c r="A3" s="6">
        <v>2</v>
      </c>
      <c r="B3" s="59" t="s">
        <v>14</v>
      </c>
      <c r="C3" s="63">
        <v>2.4489999999999998</v>
      </c>
      <c r="D3" s="64">
        <v>20.399999999999999</v>
      </c>
      <c r="E3" s="64">
        <f>(9+4+7)/3</f>
        <v>6.666666666666667</v>
      </c>
      <c r="F3" s="65">
        <v>0.9</v>
      </c>
      <c r="G3" s="66">
        <f>(371+371+373)/3</f>
        <v>371.66666666666669</v>
      </c>
      <c r="H3" s="67">
        <f t="shared" si="0"/>
        <v>8.3299305839117999</v>
      </c>
      <c r="I3" s="68">
        <f t="shared" si="1"/>
        <v>2</v>
      </c>
      <c r="J3" s="67">
        <f t="shared" si="2"/>
        <v>0.9</v>
      </c>
      <c r="K3" s="68">
        <f t="shared" si="3"/>
        <v>2</v>
      </c>
      <c r="L3" s="69">
        <f t="shared" si="4"/>
        <v>1.7937219730941704E-2</v>
      </c>
      <c r="M3" s="68">
        <f t="shared" si="5"/>
        <v>2</v>
      </c>
      <c r="N3" s="70">
        <f t="shared" si="6"/>
        <v>2</v>
      </c>
      <c r="O3" s="71">
        <f t="shared" si="7"/>
        <v>3</v>
      </c>
      <c r="P3" s="87">
        <v>1</v>
      </c>
      <c r="Q3" s="88">
        <f t="shared" si="8"/>
        <v>3</v>
      </c>
      <c r="R3" s="89">
        <f t="shared" si="9"/>
        <v>2</v>
      </c>
      <c r="S3" s="48">
        <v>1.8</v>
      </c>
      <c r="T3" s="89">
        <f t="shared" si="10"/>
        <v>2</v>
      </c>
      <c r="U3" s="92">
        <f t="shared" si="11"/>
        <v>0</v>
      </c>
      <c r="V3" s="95">
        <f>IF(U3&lt;-1,1,IF(U3&lt;1,2,IF(U3=1,3,4)))</f>
        <v>2</v>
      </c>
      <c r="W3" s="53">
        <v>1</v>
      </c>
      <c r="X3" s="53">
        <v>5</v>
      </c>
      <c r="Y3" s="53">
        <f t="shared" ref="Y3:Y27" si="12">W3*X3</f>
        <v>5</v>
      </c>
      <c r="Z3" s="137">
        <f t="shared" ref="Z3:Z27" si="13">IF(Y3&lt;6,1,IF(Y3&lt;12,2,IF(Y3&lt;18,3,4)))</f>
        <v>1</v>
      </c>
    </row>
    <row r="4" spans="1:26" ht="15" x14ac:dyDescent="0.2">
      <c r="A4" s="6">
        <v>3</v>
      </c>
      <c r="B4" s="60" t="s">
        <v>41</v>
      </c>
      <c r="C4" s="63">
        <v>5.0085000000000006</v>
      </c>
      <c r="D4" s="64">
        <f>(69.5+69.9)/2</f>
        <v>69.7</v>
      </c>
      <c r="E4" s="64">
        <f>(48+43+44)/3</f>
        <v>45</v>
      </c>
      <c r="F4" s="65">
        <f>E4/D4</f>
        <v>0.64562410329985653</v>
      </c>
      <c r="G4" s="66">
        <f>(1539+1546+1547)/3</f>
        <v>1544</v>
      </c>
      <c r="H4" s="67">
        <f t="shared" si="0"/>
        <v>13.91634221822901</v>
      </c>
      <c r="I4" s="68">
        <f t="shared" si="1"/>
        <v>3</v>
      </c>
      <c r="J4" s="67">
        <f t="shared" si="2"/>
        <v>0.64562410329985653</v>
      </c>
      <c r="K4" s="68">
        <f t="shared" si="3"/>
        <v>2</v>
      </c>
      <c r="L4" s="69">
        <f t="shared" si="4"/>
        <v>2.9145077720207253E-2</v>
      </c>
      <c r="M4" s="68">
        <f t="shared" si="5"/>
        <v>2</v>
      </c>
      <c r="N4" s="70">
        <f t="shared" si="6"/>
        <v>2.2999999999999998</v>
      </c>
      <c r="O4" s="71">
        <f t="shared" si="7"/>
        <v>3</v>
      </c>
      <c r="P4" s="87">
        <v>1</v>
      </c>
      <c r="Q4" s="88">
        <f t="shared" si="8"/>
        <v>3</v>
      </c>
      <c r="R4" s="89">
        <f t="shared" si="9"/>
        <v>2</v>
      </c>
      <c r="S4" s="48">
        <v>3.8</v>
      </c>
      <c r="T4" s="89">
        <f t="shared" si="10"/>
        <v>4</v>
      </c>
      <c r="U4" s="92">
        <f t="shared" si="11"/>
        <v>-2</v>
      </c>
      <c r="V4" s="93">
        <f>IF(U4&lt;-1,1,IF(U4&lt;1,2,IF(U4=1,3,4)))</f>
        <v>1</v>
      </c>
      <c r="W4" s="53">
        <v>1</v>
      </c>
      <c r="X4" s="53">
        <v>5</v>
      </c>
      <c r="Y4" s="53">
        <f t="shared" si="12"/>
        <v>5</v>
      </c>
      <c r="Z4" s="137">
        <f t="shared" si="13"/>
        <v>1</v>
      </c>
    </row>
    <row r="5" spans="1:26" ht="15" x14ac:dyDescent="0.2">
      <c r="A5" s="6">
        <v>4</v>
      </c>
      <c r="B5" s="59" t="s">
        <v>15</v>
      </c>
      <c r="C5" s="63">
        <v>7.1189</v>
      </c>
      <c r="D5" s="64">
        <v>63.2</v>
      </c>
      <c r="E5" s="64">
        <f>(9+12+10)/3</f>
        <v>10.333333333333334</v>
      </c>
      <c r="F5" s="65">
        <f>E5/D5</f>
        <v>0.16350210970464135</v>
      </c>
      <c r="G5" s="66">
        <f>(874+878+878)/3</f>
        <v>876.66666666666663</v>
      </c>
      <c r="H5" s="67">
        <f t="shared" si="0"/>
        <v>8.8777760609082872</v>
      </c>
      <c r="I5" s="68">
        <f t="shared" si="1"/>
        <v>2</v>
      </c>
      <c r="J5" s="67">
        <f t="shared" si="2"/>
        <v>0.16350210970464135</v>
      </c>
      <c r="K5" s="68">
        <f t="shared" si="3"/>
        <v>1</v>
      </c>
      <c r="L5" s="69">
        <f t="shared" si="4"/>
        <v>1.1787072243346009E-2</v>
      </c>
      <c r="M5" s="68">
        <f t="shared" si="5"/>
        <v>1</v>
      </c>
      <c r="N5" s="70">
        <f t="shared" si="6"/>
        <v>1.2999999999999998</v>
      </c>
      <c r="O5" s="71">
        <f t="shared" si="7"/>
        <v>1</v>
      </c>
      <c r="P5" s="87">
        <v>2</v>
      </c>
      <c r="Q5" s="88">
        <f t="shared" si="8"/>
        <v>2</v>
      </c>
      <c r="R5" s="89">
        <f t="shared" si="9"/>
        <v>1</v>
      </c>
      <c r="S5" s="48">
        <v>2.4</v>
      </c>
      <c r="T5" s="89">
        <f t="shared" si="10"/>
        <v>2</v>
      </c>
      <c r="U5" s="92">
        <f t="shared" si="11"/>
        <v>-1</v>
      </c>
      <c r="V5" s="93">
        <f>IF(U5&lt;-1,1,IF(U5&lt;1,2,IF(U5=1,3,4)))</f>
        <v>2</v>
      </c>
      <c r="W5" s="53">
        <v>1</v>
      </c>
      <c r="X5" s="53">
        <v>5</v>
      </c>
      <c r="Y5" s="53">
        <f t="shared" si="12"/>
        <v>5</v>
      </c>
      <c r="Z5" s="137">
        <f t="shared" si="13"/>
        <v>1</v>
      </c>
    </row>
    <row r="6" spans="1:26" ht="15" x14ac:dyDescent="0.2">
      <c r="A6" s="6">
        <v>5</v>
      </c>
      <c r="B6" s="59" t="s">
        <v>16</v>
      </c>
      <c r="C6" s="63">
        <v>12.3446</v>
      </c>
      <c r="D6" s="64">
        <f>(99.6+100)/2</f>
        <v>99.8</v>
      </c>
      <c r="E6" s="64">
        <f>(49+42+49)/3</f>
        <v>46.666666666666664</v>
      </c>
      <c r="F6" s="65">
        <v>0.3</v>
      </c>
      <c r="G6" s="66">
        <f>(1800+1825+1848)/3</f>
        <v>1824.3333333333333</v>
      </c>
      <c r="H6" s="67">
        <f t="shared" si="0"/>
        <v>8.0845065858756051</v>
      </c>
      <c r="I6" s="68">
        <f t="shared" si="1"/>
        <v>2</v>
      </c>
      <c r="J6" s="67">
        <f t="shared" si="2"/>
        <v>0.3</v>
      </c>
      <c r="K6" s="68">
        <f t="shared" si="3"/>
        <v>2</v>
      </c>
      <c r="L6" s="69">
        <f t="shared" si="4"/>
        <v>2.5580120591997078E-2</v>
      </c>
      <c r="M6" s="68">
        <f t="shared" si="5"/>
        <v>2</v>
      </c>
      <c r="N6" s="70">
        <f t="shared" si="6"/>
        <v>2</v>
      </c>
      <c r="O6" s="71">
        <f t="shared" si="7"/>
        <v>3</v>
      </c>
      <c r="P6" s="87">
        <v>2</v>
      </c>
      <c r="Q6" s="88">
        <f t="shared" si="8"/>
        <v>6</v>
      </c>
      <c r="R6" s="89">
        <f t="shared" si="9"/>
        <v>3</v>
      </c>
      <c r="S6" s="48" t="s">
        <v>37</v>
      </c>
      <c r="T6" s="89">
        <f t="shared" si="10"/>
        <v>4</v>
      </c>
      <c r="U6" s="92">
        <f t="shared" si="11"/>
        <v>-1</v>
      </c>
      <c r="V6" s="94">
        <f>R6</f>
        <v>3</v>
      </c>
      <c r="W6" s="53">
        <v>1</v>
      </c>
      <c r="X6" s="53">
        <v>5</v>
      </c>
      <c r="Y6" s="53">
        <f t="shared" si="12"/>
        <v>5</v>
      </c>
      <c r="Z6" s="137">
        <f t="shared" si="13"/>
        <v>1</v>
      </c>
    </row>
    <row r="7" spans="1:26" ht="15" x14ac:dyDescent="0.2">
      <c r="A7" s="6">
        <v>6</v>
      </c>
      <c r="B7" s="59" t="s">
        <v>17</v>
      </c>
      <c r="C7" s="63">
        <v>9.9307999999999996</v>
      </c>
      <c r="D7" s="64">
        <v>102</v>
      </c>
      <c r="E7" s="64">
        <f>(28+39+41)/3</f>
        <v>36</v>
      </c>
      <c r="F7" s="65">
        <v>0.1</v>
      </c>
      <c r="G7" s="66">
        <f>(986+1098+1163)/3</f>
        <v>1082.3333333333333</v>
      </c>
      <c r="H7" s="67">
        <f t="shared" si="0"/>
        <v>10.271075844846337</v>
      </c>
      <c r="I7" s="68">
        <f t="shared" si="1"/>
        <v>2</v>
      </c>
      <c r="J7" s="67">
        <f t="shared" si="2"/>
        <v>0.1</v>
      </c>
      <c r="K7" s="68">
        <f t="shared" si="3"/>
        <v>1</v>
      </c>
      <c r="L7" s="69">
        <f t="shared" si="4"/>
        <v>3.3261472128118266E-2</v>
      </c>
      <c r="M7" s="68">
        <f t="shared" si="5"/>
        <v>2</v>
      </c>
      <c r="N7" s="70">
        <f t="shared" si="6"/>
        <v>1.7</v>
      </c>
      <c r="O7" s="71">
        <f t="shared" si="7"/>
        <v>2</v>
      </c>
      <c r="P7" s="87">
        <v>1</v>
      </c>
      <c r="Q7" s="88">
        <f t="shared" si="8"/>
        <v>2</v>
      </c>
      <c r="R7" s="89">
        <f t="shared" si="9"/>
        <v>1</v>
      </c>
      <c r="S7" s="48">
        <v>1.4</v>
      </c>
      <c r="T7" s="89">
        <f t="shared" si="10"/>
        <v>1</v>
      </c>
      <c r="U7" s="92">
        <f t="shared" si="11"/>
        <v>0</v>
      </c>
      <c r="V7" s="95">
        <f t="shared" ref="V7:V27" si="14">IF(U7&lt;-1,1,IF(U7&lt;1,2,IF(U7=1,3,4)))</f>
        <v>2</v>
      </c>
      <c r="W7" s="53">
        <v>1</v>
      </c>
      <c r="X7" s="53">
        <v>5</v>
      </c>
      <c r="Y7" s="53">
        <f t="shared" si="12"/>
        <v>5</v>
      </c>
      <c r="Z7" s="137">
        <f t="shared" si="13"/>
        <v>1</v>
      </c>
    </row>
    <row r="8" spans="1:26" ht="15" x14ac:dyDescent="0.2">
      <c r="A8" s="6">
        <v>7</v>
      </c>
      <c r="B8" s="59" t="s">
        <v>18</v>
      </c>
      <c r="C8" s="63">
        <v>8.3160000000000007</v>
      </c>
      <c r="D8" s="64">
        <v>87</v>
      </c>
      <c r="E8" s="64">
        <v>39</v>
      </c>
      <c r="F8" s="65">
        <v>0.1</v>
      </c>
      <c r="G8" s="66">
        <v>1163</v>
      </c>
      <c r="H8" s="67">
        <f t="shared" ref="H8:H27" si="15">(D8/C8)</f>
        <v>10.461760461760461</v>
      </c>
      <c r="I8" s="68">
        <f t="shared" si="1"/>
        <v>2</v>
      </c>
      <c r="J8" s="67">
        <f t="shared" si="2"/>
        <v>0.1</v>
      </c>
      <c r="K8" s="68">
        <f t="shared" si="3"/>
        <v>1</v>
      </c>
      <c r="L8" s="69">
        <f t="shared" ref="L8:L27" si="16">(E8/G8)</f>
        <v>3.3533963886500429E-2</v>
      </c>
      <c r="M8" s="68">
        <f t="shared" si="5"/>
        <v>2</v>
      </c>
      <c r="N8" s="70">
        <f t="shared" si="6"/>
        <v>1.7</v>
      </c>
      <c r="O8" s="71">
        <f t="shared" si="7"/>
        <v>2</v>
      </c>
      <c r="P8" s="87">
        <v>3</v>
      </c>
      <c r="Q8" s="88">
        <f t="shared" si="8"/>
        <v>6</v>
      </c>
      <c r="R8" s="89">
        <f t="shared" si="9"/>
        <v>3</v>
      </c>
      <c r="S8" s="48">
        <v>1.2</v>
      </c>
      <c r="T8" s="89">
        <f t="shared" si="10"/>
        <v>1</v>
      </c>
      <c r="U8" s="92">
        <f t="shared" si="11"/>
        <v>2</v>
      </c>
      <c r="V8" s="96">
        <f t="shared" si="14"/>
        <v>4</v>
      </c>
      <c r="W8" s="53">
        <v>1</v>
      </c>
      <c r="X8" s="53">
        <v>5</v>
      </c>
      <c r="Y8" s="53">
        <f t="shared" si="12"/>
        <v>5</v>
      </c>
      <c r="Z8" s="137">
        <f t="shared" si="13"/>
        <v>1</v>
      </c>
    </row>
    <row r="9" spans="1:26" ht="15" x14ac:dyDescent="0.2">
      <c r="A9" s="6">
        <v>8</v>
      </c>
      <c r="B9" s="59" t="s">
        <v>19</v>
      </c>
      <c r="C9" s="63">
        <v>4.8502000000000001</v>
      </c>
      <c r="D9" s="64">
        <v>40.9</v>
      </c>
      <c r="E9" s="64">
        <f>(26+10+12)/3</f>
        <v>16</v>
      </c>
      <c r="F9" s="65">
        <f>E9/D9</f>
        <v>0.39119804400977998</v>
      </c>
      <c r="G9" s="66">
        <f>(1130+1144+1149)/3</f>
        <v>1141</v>
      </c>
      <c r="H9" s="67">
        <f t="shared" si="15"/>
        <v>8.4326419529091581</v>
      </c>
      <c r="I9" s="68">
        <f t="shared" si="1"/>
        <v>2</v>
      </c>
      <c r="J9" s="67">
        <f t="shared" si="2"/>
        <v>0.39119804400977998</v>
      </c>
      <c r="K9" s="68">
        <f t="shared" si="3"/>
        <v>2</v>
      </c>
      <c r="L9" s="69">
        <f t="shared" si="16"/>
        <v>1.4022787028921999E-2</v>
      </c>
      <c r="M9" s="68">
        <f t="shared" si="5"/>
        <v>1</v>
      </c>
      <c r="N9" s="70">
        <f t="shared" si="6"/>
        <v>1.6</v>
      </c>
      <c r="O9" s="71">
        <f t="shared" si="7"/>
        <v>2</v>
      </c>
      <c r="P9" s="87">
        <v>2</v>
      </c>
      <c r="Q9" s="88">
        <f t="shared" si="8"/>
        <v>4</v>
      </c>
      <c r="R9" s="89">
        <f t="shared" si="9"/>
        <v>2</v>
      </c>
      <c r="S9" s="48">
        <v>3</v>
      </c>
      <c r="T9" s="89">
        <f t="shared" si="10"/>
        <v>3</v>
      </c>
      <c r="U9" s="92">
        <f t="shared" si="11"/>
        <v>-1</v>
      </c>
      <c r="V9" s="93">
        <f t="shared" si="14"/>
        <v>2</v>
      </c>
      <c r="W9" s="53">
        <v>1</v>
      </c>
      <c r="X9" s="53">
        <v>5</v>
      </c>
      <c r="Y9" s="53">
        <f t="shared" si="12"/>
        <v>5</v>
      </c>
      <c r="Z9" s="137">
        <f t="shared" si="13"/>
        <v>1</v>
      </c>
    </row>
    <row r="10" spans="1:26" ht="15" x14ac:dyDescent="0.2">
      <c r="A10" s="6">
        <v>9</v>
      </c>
      <c r="B10" s="59" t="s">
        <v>20</v>
      </c>
      <c r="C10" s="63">
        <v>11.48</v>
      </c>
      <c r="D10" s="64">
        <v>26.2</v>
      </c>
      <c r="E10" s="64">
        <f>(9+3+6)/3</f>
        <v>6</v>
      </c>
      <c r="F10" s="65">
        <v>0.5</v>
      </c>
      <c r="G10" s="66">
        <v>382</v>
      </c>
      <c r="H10" s="67">
        <f t="shared" si="15"/>
        <v>2.2822299651567941</v>
      </c>
      <c r="I10" s="68">
        <f t="shared" si="1"/>
        <v>1</v>
      </c>
      <c r="J10" s="67">
        <f t="shared" si="2"/>
        <v>0.5</v>
      </c>
      <c r="K10" s="68">
        <f t="shared" si="3"/>
        <v>2</v>
      </c>
      <c r="L10" s="69">
        <f t="shared" si="16"/>
        <v>1.5706806282722512E-2</v>
      </c>
      <c r="M10" s="68">
        <f t="shared" si="5"/>
        <v>2</v>
      </c>
      <c r="N10" s="70">
        <f t="shared" si="6"/>
        <v>1.7</v>
      </c>
      <c r="O10" s="71">
        <f t="shared" si="7"/>
        <v>2</v>
      </c>
      <c r="P10" s="87">
        <v>2</v>
      </c>
      <c r="Q10" s="88">
        <f t="shared" si="8"/>
        <v>4</v>
      </c>
      <c r="R10" s="89">
        <f t="shared" si="9"/>
        <v>2</v>
      </c>
      <c r="S10" s="48">
        <v>1.4</v>
      </c>
      <c r="T10" s="89">
        <f t="shared" si="10"/>
        <v>1</v>
      </c>
      <c r="U10" s="92">
        <f t="shared" si="11"/>
        <v>1</v>
      </c>
      <c r="V10" s="95">
        <f t="shared" si="14"/>
        <v>3</v>
      </c>
      <c r="W10" s="53">
        <v>1</v>
      </c>
      <c r="X10" s="53">
        <v>5</v>
      </c>
      <c r="Y10" s="53">
        <f t="shared" si="12"/>
        <v>5</v>
      </c>
      <c r="Z10" s="137">
        <f t="shared" si="13"/>
        <v>1</v>
      </c>
    </row>
    <row r="11" spans="1:26" ht="15" x14ac:dyDescent="0.2">
      <c r="A11" s="6">
        <v>10</v>
      </c>
      <c r="B11" s="59" t="s">
        <v>21</v>
      </c>
      <c r="C11" s="63">
        <v>8.4289000000000005</v>
      </c>
      <c r="D11" s="64">
        <f>(91.6+95.5)/2</f>
        <v>93.55</v>
      </c>
      <c r="E11" s="64">
        <f>(6+8+6)/3</f>
        <v>6.666666666666667</v>
      </c>
      <c r="F11" s="65">
        <f>E11/D11</f>
        <v>7.1263139141279172E-2</v>
      </c>
      <c r="G11" s="66">
        <f>(1060+1064+1064)/3</f>
        <v>1062.6666666666667</v>
      </c>
      <c r="H11" s="67">
        <f t="shared" si="15"/>
        <v>11.098719880411441</v>
      </c>
      <c r="I11" s="68">
        <f t="shared" si="1"/>
        <v>2</v>
      </c>
      <c r="J11" s="67">
        <f t="shared" si="2"/>
        <v>7.1263139141279172E-2</v>
      </c>
      <c r="K11" s="68">
        <f t="shared" si="3"/>
        <v>1</v>
      </c>
      <c r="L11" s="69">
        <f t="shared" si="16"/>
        <v>6.2735257214554582E-3</v>
      </c>
      <c r="M11" s="68">
        <f t="shared" si="5"/>
        <v>1</v>
      </c>
      <c r="N11" s="70">
        <f t="shared" si="6"/>
        <v>1.2999999999999998</v>
      </c>
      <c r="O11" s="71">
        <f t="shared" si="7"/>
        <v>1</v>
      </c>
      <c r="P11" s="87">
        <v>1</v>
      </c>
      <c r="Q11" s="88">
        <f t="shared" si="8"/>
        <v>1</v>
      </c>
      <c r="R11" s="89">
        <f t="shared" si="9"/>
        <v>1</v>
      </c>
      <c r="S11" s="48">
        <v>2.2000000000000002</v>
      </c>
      <c r="T11" s="89">
        <f t="shared" si="10"/>
        <v>2</v>
      </c>
      <c r="U11" s="92">
        <f t="shared" si="11"/>
        <v>-1</v>
      </c>
      <c r="V11" s="93">
        <f t="shared" si="14"/>
        <v>2</v>
      </c>
      <c r="W11" s="53">
        <v>1</v>
      </c>
      <c r="X11" s="53">
        <v>5</v>
      </c>
      <c r="Y11" s="53">
        <f t="shared" si="12"/>
        <v>5</v>
      </c>
      <c r="Z11" s="137">
        <f t="shared" si="13"/>
        <v>1</v>
      </c>
    </row>
    <row r="12" spans="1:26" ht="15" x14ac:dyDescent="0.2">
      <c r="A12" s="6">
        <v>11</v>
      </c>
      <c r="B12" s="59" t="s">
        <v>22</v>
      </c>
      <c r="C12" s="63">
        <v>11.5077</v>
      </c>
      <c r="D12" s="64">
        <v>34.9</v>
      </c>
      <c r="E12" s="64">
        <f>(7+4)/2</f>
        <v>5.5</v>
      </c>
      <c r="F12" s="65">
        <f>E12/D12</f>
        <v>0.15759312320916907</v>
      </c>
      <c r="G12" s="66">
        <f>(600+608+741)/3</f>
        <v>649.66666666666663</v>
      </c>
      <c r="H12" s="67">
        <f t="shared" si="15"/>
        <v>3.0327519834545567</v>
      </c>
      <c r="I12" s="68">
        <f t="shared" si="1"/>
        <v>1</v>
      </c>
      <c r="J12" s="67">
        <f t="shared" si="2"/>
        <v>0.15759312320916907</v>
      </c>
      <c r="K12" s="68">
        <f t="shared" si="3"/>
        <v>1</v>
      </c>
      <c r="L12" s="69">
        <f t="shared" si="16"/>
        <v>8.4658799384299648E-3</v>
      </c>
      <c r="M12" s="68">
        <f t="shared" si="5"/>
        <v>1</v>
      </c>
      <c r="N12" s="70">
        <f t="shared" si="6"/>
        <v>1</v>
      </c>
      <c r="O12" s="71">
        <f t="shared" si="7"/>
        <v>1</v>
      </c>
      <c r="P12" s="87">
        <v>1</v>
      </c>
      <c r="Q12" s="88">
        <f t="shared" si="8"/>
        <v>1</v>
      </c>
      <c r="R12" s="89">
        <f t="shared" si="9"/>
        <v>1</v>
      </c>
      <c r="S12" s="48">
        <v>2.6</v>
      </c>
      <c r="T12" s="89">
        <f t="shared" si="10"/>
        <v>3</v>
      </c>
      <c r="U12" s="92">
        <f t="shared" si="11"/>
        <v>-2</v>
      </c>
      <c r="V12" s="95">
        <f t="shared" si="14"/>
        <v>1</v>
      </c>
      <c r="W12" s="53">
        <v>1</v>
      </c>
      <c r="X12" s="53">
        <v>5</v>
      </c>
      <c r="Y12" s="53">
        <f t="shared" si="12"/>
        <v>5</v>
      </c>
      <c r="Z12" s="137">
        <f t="shared" si="13"/>
        <v>1</v>
      </c>
    </row>
    <row r="13" spans="1:26" ht="15" x14ac:dyDescent="0.2">
      <c r="A13" s="6">
        <v>12</v>
      </c>
      <c r="B13" s="59" t="s">
        <v>42</v>
      </c>
      <c r="C13" s="63">
        <v>7.4941999999999993</v>
      </c>
      <c r="D13" s="64">
        <v>151.69999999999999</v>
      </c>
      <c r="E13" s="64">
        <f>(82+93+47)/3</f>
        <v>74</v>
      </c>
      <c r="F13" s="65">
        <v>1.3</v>
      </c>
      <c r="G13" s="66">
        <f>(1493+1538+1554)/3</f>
        <v>1528.3333333333333</v>
      </c>
      <c r="H13" s="67">
        <f t="shared" si="15"/>
        <v>20.242320728029675</v>
      </c>
      <c r="I13" s="68">
        <f t="shared" si="1"/>
        <v>3</v>
      </c>
      <c r="J13" s="67">
        <f t="shared" si="2"/>
        <v>1.3</v>
      </c>
      <c r="K13" s="68">
        <f t="shared" si="3"/>
        <v>3</v>
      </c>
      <c r="L13" s="69">
        <f t="shared" si="16"/>
        <v>4.841875681570338E-2</v>
      </c>
      <c r="M13" s="68">
        <f t="shared" si="5"/>
        <v>3</v>
      </c>
      <c r="N13" s="70">
        <f t="shared" si="6"/>
        <v>3</v>
      </c>
      <c r="O13" s="71">
        <f t="shared" si="7"/>
        <v>3</v>
      </c>
      <c r="P13" s="87">
        <v>1</v>
      </c>
      <c r="Q13" s="88">
        <f t="shared" si="8"/>
        <v>3</v>
      </c>
      <c r="R13" s="89">
        <f t="shared" si="9"/>
        <v>2</v>
      </c>
      <c r="S13" s="48">
        <v>1.4</v>
      </c>
      <c r="T13" s="89">
        <f t="shared" si="10"/>
        <v>1</v>
      </c>
      <c r="U13" s="92">
        <f t="shared" si="11"/>
        <v>1</v>
      </c>
      <c r="V13" s="95">
        <f t="shared" si="14"/>
        <v>3</v>
      </c>
      <c r="W13" s="53">
        <v>1</v>
      </c>
      <c r="X13" s="53">
        <v>5</v>
      </c>
      <c r="Y13" s="53">
        <f t="shared" si="12"/>
        <v>5</v>
      </c>
      <c r="Z13" s="137">
        <f t="shared" si="13"/>
        <v>1</v>
      </c>
    </row>
    <row r="14" spans="1:26" ht="15" x14ac:dyDescent="0.2">
      <c r="A14" s="6">
        <v>13</v>
      </c>
      <c r="B14" s="59" t="s">
        <v>23</v>
      </c>
      <c r="C14" s="63">
        <v>4.7988999999999997</v>
      </c>
      <c r="D14" s="64">
        <v>46.2</v>
      </c>
      <c r="E14" s="64">
        <f>(8+7+24)/3</f>
        <v>13</v>
      </c>
      <c r="F14" s="65">
        <v>1</v>
      </c>
      <c r="G14" s="66">
        <f>(1039+1045+1051)/3</f>
        <v>1045</v>
      </c>
      <c r="H14" s="67">
        <f t="shared" si="15"/>
        <v>9.6272062347621343</v>
      </c>
      <c r="I14" s="68">
        <f t="shared" si="1"/>
        <v>2</v>
      </c>
      <c r="J14" s="67">
        <f t="shared" si="2"/>
        <v>1</v>
      </c>
      <c r="K14" s="68">
        <f t="shared" si="3"/>
        <v>3</v>
      </c>
      <c r="L14" s="69">
        <f t="shared" si="16"/>
        <v>1.2440191387559809E-2</v>
      </c>
      <c r="M14" s="68">
        <f t="shared" si="5"/>
        <v>1</v>
      </c>
      <c r="N14" s="70">
        <f t="shared" si="6"/>
        <v>1.9</v>
      </c>
      <c r="O14" s="71">
        <f t="shared" si="7"/>
        <v>2</v>
      </c>
      <c r="P14" s="87">
        <v>2</v>
      </c>
      <c r="Q14" s="88">
        <f t="shared" si="8"/>
        <v>4</v>
      </c>
      <c r="R14" s="89">
        <f t="shared" si="9"/>
        <v>2</v>
      </c>
      <c r="S14" s="48">
        <v>1.8</v>
      </c>
      <c r="T14" s="89">
        <f t="shared" si="10"/>
        <v>2</v>
      </c>
      <c r="U14" s="92">
        <f t="shared" si="11"/>
        <v>0</v>
      </c>
      <c r="V14" s="94">
        <f t="shared" si="14"/>
        <v>2</v>
      </c>
      <c r="W14" s="53">
        <v>1</v>
      </c>
      <c r="X14" s="53">
        <v>5</v>
      </c>
      <c r="Y14" s="53">
        <f t="shared" si="12"/>
        <v>5</v>
      </c>
      <c r="Z14" s="137">
        <f t="shared" si="13"/>
        <v>1</v>
      </c>
    </row>
    <row r="15" spans="1:26" ht="15" x14ac:dyDescent="0.2">
      <c r="A15" s="6">
        <v>14</v>
      </c>
      <c r="B15" s="59" t="s">
        <v>24</v>
      </c>
      <c r="C15" s="63">
        <v>10.325699999999999</v>
      </c>
      <c r="D15" s="64">
        <f>(91.4+99.2)/2</f>
        <v>95.300000000000011</v>
      </c>
      <c r="E15" s="64">
        <f>(27+25+33)/3</f>
        <v>28.333333333333332</v>
      </c>
      <c r="F15" s="65">
        <v>0.1</v>
      </c>
      <c r="G15" s="66">
        <f>(1724+1783+1783)/3</f>
        <v>1763.3333333333333</v>
      </c>
      <c r="H15" s="67">
        <f t="shared" si="15"/>
        <v>9.2293984911434599</v>
      </c>
      <c r="I15" s="68">
        <f t="shared" si="1"/>
        <v>2</v>
      </c>
      <c r="J15" s="67">
        <f t="shared" si="2"/>
        <v>0.1</v>
      </c>
      <c r="K15" s="68">
        <f t="shared" si="3"/>
        <v>1</v>
      </c>
      <c r="L15" s="69">
        <f t="shared" si="16"/>
        <v>1.6068052930056712E-2</v>
      </c>
      <c r="M15" s="68">
        <f t="shared" si="5"/>
        <v>2</v>
      </c>
      <c r="N15" s="70">
        <f t="shared" si="6"/>
        <v>1.7</v>
      </c>
      <c r="O15" s="71">
        <f t="shared" si="7"/>
        <v>2</v>
      </c>
      <c r="P15" s="87">
        <v>2</v>
      </c>
      <c r="Q15" s="88">
        <f t="shared" si="8"/>
        <v>4</v>
      </c>
      <c r="R15" s="89">
        <f t="shared" si="9"/>
        <v>2</v>
      </c>
      <c r="S15" s="48">
        <v>1.6</v>
      </c>
      <c r="T15" s="89">
        <f t="shared" si="10"/>
        <v>2</v>
      </c>
      <c r="U15" s="92">
        <f t="shared" si="11"/>
        <v>0</v>
      </c>
      <c r="V15" s="95">
        <f t="shared" si="14"/>
        <v>2</v>
      </c>
      <c r="W15" s="53">
        <v>1</v>
      </c>
      <c r="X15" s="53">
        <v>5</v>
      </c>
      <c r="Y15" s="53">
        <f t="shared" si="12"/>
        <v>5</v>
      </c>
      <c r="Z15" s="137">
        <f t="shared" si="13"/>
        <v>1</v>
      </c>
    </row>
    <row r="16" spans="1:26" ht="15" x14ac:dyDescent="0.2">
      <c r="A16" s="6">
        <v>15</v>
      </c>
      <c r="B16" s="59" t="s">
        <v>25</v>
      </c>
      <c r="C16" s="63">
        <v>7.9854999999999992</v>
      </c>
      <c r="D16" s="64">
        <v>51.1</v>
      </c>
      <c r="E16" s="64">
        <f>(4+9+5)/3</f>
        <v>6</v>
      </c>
      <c r="F16" s="65">
        <v>0.1</v>
      </c>
      <c r="G16" s="66">
        <f>(974+981+1000)/3</f>
        <v>985</v>
      </c>
      <c r="H16" s="67">
        <f t="shared" si="15"/>
        <v>6.3990983657879914</v>
      </c>
      <c r="I16" s="68">
        <f t="shared" si="1"/>
        <v>1</v>
      </c>
      <c r="J16" s="67">
        <f t="shared" si="2"/>
        <v>0.1</v>
      </c>
      <c r="K16" s="68">
        <f t="shared" si="3"/>
        <v>1</v>
      </c>
      <c r="L16" s="69">
        <f t="shared" si="16"/>
        <v>6.0913705583756344E-3</v>
      </c>
      <c r="M16" s="68">
        <f t="shared" si="5"/>
        <v>1</v>
      </c>
      <c r="N16" s="70">
        <f t="shared" si="6"/>
        <v>1</v>
      </c>
      <c r="O16" s="71">
        <f t="shared" si="7"/>
        <v>1</v>
      </c>
      <c r="P16" s="87">
        <v>2</v>
      </c>
      <c r="Q16" s="88">
        <f t="shared" si="8"/>
        <v>2</v>
      </c>
      <c r="R16" s="89">
        <f t="shared" si="9"/>
        <v>1</v>
      </c>
      <c r="S16" s="49">
        <v>1.6</v>
      </c>
      <c r="T16" s="89">
        <f t="shared" si="10"/>
        <v>2</v>
      </c>
      <c r="U16" s="92">
        <f t="shared" si="11"/>
        <v>-1</v>
      </c>
      <c r="V16" s="95">
        <f t="shared" si="14"/>
        <v>2</v>
      </c>
      <c r="W16" s="53">
        <v>1</v>
      </c>
      <c r="X16" s="53">
        <v>5</v>
      </c>
      <c r="Y16" s="53">
        <f t="shared" si="12"/>
        <v>5</v>
      </c>
      <c r="Z16" s="137">
        <f t="shared" si="13"/>
        <v>1</v>
      </c>
    </row>
    <row r="17" spans="1:26" ht="15" x14ac:dyDescent="0.2">
      <c r="A17" s="6">
        <v>16</v>
      </c>
      <c r="B17" s="59" t="s">
        <v>26</v>
      </c>
      <c r="C17" s="63">
        <v>12.9291</v>
      </c>
      <c r="D17" s="64">
        <v>41.1</v>
      </c>
      <c r="E17" s="64">
        <f>(14+9+8)/3</f>
        <v>10.333333333333334</v>
      </c>
      <c r="F17" s="65">
        <v>0.8</v>
      </c>
      <c r="G17" s="66">
        <f>(579+579+612)/3</f>
        <v>590</v>
      </c>
      <c r="H17" s="67">
        <f t="shared" si="15"/>
        <v>3.1788755597837439</v>
      </c>
      <c r="I17" s="68">
        <f t="shared" si="1"/>
        <v>1</v>
      </c>
      <c r="J17" s="67">
        <f t="shared" si="2"/>
        <v>0.8</v>
      </c>
      <c r="K17" s="68">
        <f t="shared" si="3"/>
        <v>2</v>
      </c>
      <c r="L17" s="69">
        <f t="shared" si="16"/>
        <v>1.7514124293785311E-2</v>
      </c>
      <c r="M17" s="68">
        <f t="shared" si="5"/>
        <v>2</v>
      </c>
      <c r="N17" s="70">
        <f t="shared" si="6"/>
        <v>1.7</v>
      </c>
      <c r="O17" s="71">
        <f t="shared" si="7"/>
        <v>2</v>
      </c>
      <c r="P17" s="87">
        <v>3</v>
      </c>
      <c r="Q17" s="88">
        <f t="shared" si="8"/>
        <v>6</v>
      </c>
      <c r="R17" s="89">
        <f t="shared" si="9"/>
        <v>3</v>
      </c>
      <c r="S17" s="48">
        <v>1.4</v>
      </c>
      <c r="T17" s="89">
        <f t="shared" si="10"/>
        <v>1</v>
      </c>
      <c r="U17" s="92">
        <f t="shared" si="11"/>
        <v>2</v>
      </c>
      <c r="V17" s="94">
        <f t="shared" si="14"/>
        <v>4</v>
      </c>
      <c r="W17" s="53">
        <v>1</v>
      </c>
      <c r="X17" s="53">
        <v>5</v>
      </c>
      <c r="Y17" s="53">
        <f t="shared" si="12"/>
        <v>5</v>
      </c>
      <c r="Z17" s="137">
        <f t="shared" si="13"/>
        <v>1</v>
      </c>
    </row>
    <row r="18" spans="1:26" ht="15" x14ac:dyDescent="0.2">
      <c r="A18" s="6">
        <v>17</v>
      </c>
      <c r="B18" s="59" t="s">
        <v>27</v>
      </c>
      <c r="C18" s="63">
        <v>13.503699999999998</v>
      </c>
      <c r="D18" s="64">
        <v>30.9</v>
      </c>
      <c r="E18" s="64">
        <f>(30+8+18)/3</f>
        <v>18.666666666666668</v>
      </c>
      <c r="F18" s="65">
        <f>E18/D18</f>
        <v>0.60409924487594402</v>
      </c>
      <c r="G18" s="66">
        <f>(685+686+690)/3</f>
        <v>687</v>
      </c>
      <c r="H18" s="67">
        <f t="shared" si="15"/>
        <v>2.2882617356724455</v>
      </c>
      <c r="I18" s="68">
        <f t="shared" si="1"/>
        <v>1</v>
      </c>
      <c r="J18" s="67">
        <f t="shared" si="2"/>
        <v>0.60409924487594402</v>
      </c>
      <c r="K18" s="68">
        <f t="shared" si="3"/>
        <v>2</v>
      </c>
      <c r="L18" s="69">
        <f t="shared" si="16"/>
        <v>2.7171276079573023E-2</v>
      </c>
      <c r="M18" s="68">
        <f t="shared" si="5"/>
        <v>2</v>
      </c>
      <c r="N18" s="70">
        <f t="shared" si="6"/>
        <v>1.7</v>
      </c>
      <c r="O18" s="71">
        <f t="shared" si="7"/>
        <v>2</v>
      </c>
      <c r="P18" s="87">
        <v>2</v>
      </c>
      <c r="Q18" s="88">
        <f t="shared" si="8"/>
        <v>4</v>
      </c>
      <c r="R18" s="89">
        <f t="shared" si="9"/>
        <v>2</v>
      </c>
      <c r="S18" s="48">
        <v>2.2000000000000002</v>
      </c>
      <c r="T18" s="89">
        <f t="shared" si="10"/>
        <v>2</v>
      </c>
      <c r="U18" s="92">
        <f t="shared" si="11"/>
        <v>0</v>
      </c>
      <c r="V18" s="95">
        <f t="shared" si="14"/>
        <v>2</v>
      </c>
      <c r="W18" s="53">
        <v>1</v>
      </c>
      <c r="X18" s="53">
        <v>5</v>
      </c>
      <c r="Y18" s="53">
        <f t="shared" si="12"/>
        <v>5</v>
      </c>
      <c r="Z18" s="137">
        <f t="shared" si="13"/>
        <v>1</v>
      </c>
    </row>
    <row r="19" spans="1:26" ht="15" x14ac:dyDescent="0.2">
      <c r="A19" s="6">
        <v>18</v>
      </c>
      <c r="B19" s="59" t="s">
        <v>28</v>
      </c>
      <c r="C19" s="63">
        <v>8.4147999999999996</v>
      </c>
      <c r="D19" s="64">
        <v>99.45</v>
      </c>
      <c r="E19" s="64">
        <f>(8+8+11)/3</f>
        <v>9</v>
      </c>
      <c r="F19" s="65">
        <f>E19/D19</f>
        <v>9.0497737556561084E-2</v>
      </c>
      <c r="G19" s="66">
        <f>(1674+1699+1708)/3</f>
        <v>1693.6666666666667</v>
      </c>
      <c r="H19" s="67">
        <f t="shared" si="15"/>
        <v>11.818462708561107</v>
      </c>
      <c r="I19" s="68">
        <f t="shared" si="1"/>
        <v>2</v>
      </c>
      <c r="J19" s="67">
        <f t="shared" si="2"/>
        <v>9.0497737556561084E-2</v>
      </c>
      <c r="K19" s="68">
        <f t="shared" si="3"/>
        <v>1</v>
      </c>
      <c r="L19" s="69">
        <f t="shared" si="16"/>
        <v>5.3139145837433578E-3</v>
      </c>
      <c r="M19" s="68">
        <f t="shared" si="5"/>
        <v>1</v>
      </c>
      <c r="N19" s="70">
        <f t="shared" si="6"/>
        <v>1.2999999999999998</v>
      </c>
      <c r="O19" s="71">
        <f t="shared" si="7"/>
        <v>1</v>
      </c>
      <c r="P19" s="87">
        <v>2</v>
      </c>
      <c r="Q19" s="88">
        <f t="shared" si="8"/>
        <v>2</v>
      </c>
      <c r="R19" s="89">
        <f t="shared" si="9"/>
        <v>1</v>
      </c>
      <c r="S19" s="48">
        <v>1.2</v>
      </c>
      <c r="T19" s="89">
        <f t="shared" si="10"/>
        <v>1</v>
      </c>
      <c r="U19" s="92">
        <f t="shared" si="11"/>
        <v>0</v>
      </c>
      <c r="V19" s="95">
        <f t="shared" si="14"/>
        <v>2</v>
      </c>
      <c r="W19" s="53">
        <v>1</v>
      </c>
      <c r="X19" s="53">
        <v>5</v>
      </c>
      <c r="Y19" s="53">
        <f t="shared" si="12"/>
        <v>5</v>
      </c>
      <c r="Z19" s="137">
        <f t="shared" si="13"/>
        <v>1</v>
      </c>
    </row>
    <row r="20" spans="1:26" ht="15" x14ac:dyDescent="0.2">
      <c r="A20" s="6">
        <v>19</v>
      </c>
      <c r="B20" s="59" t="s">
        <v>29</v>
      </c>
      <c r="C20" s="63">
        <v>9.6488999999999994</v>
      </c>
      <c r="D20" s="64">
        <v>96.8</v>
      </c>
      <c r="E20" s="64">
        <f>(34+34+21)/3</f>
        <v>29.666666666666668</v>
      </c>
      <c r="F20" s="65">
        <f>E20/D20</f>
        <v>0.30647382920110194</v>
      </c>
      <c r="G20" s="66">
        <f>(994+1005+1058)/3</f>
        <v>1019</v>
      </c>
      <c r="H20" s="67">
        <f t="shared" si="15"/>
        <v>10.032231653349086</v>
      </c>
      <c r="I20" s="68">
        <f t="shared" si="1"/>
        <v>2</v>
      </c>
      <c r="J20" s="67">
        <f t="shared" si="2"/>
        <v>0.30647382920110194</v>
      </c>
      <c r="K20" s="68">
        <f t="shared" si="3"/>
        <v>2</v>
      </c>
      <c r="L20" s="69">
        <f t="shared" si="16"/>
        <v>2.9113509977101736E-2</v>
      </c>
      <c r="M20" s="68">
        <f t="shared" si="5"/>
        <v>2</v>
      </c>
      <c r="N20" s="70">
        <f t="shared" si="6"/>
        <v>2</v>
      </c>
      <c r="O20" s="71">
        <f t="shared" si="7"/>
        <v>3</v>
      </c>
      <c r="P20" s="87">
        <v>1</v>
      </c>
      <c r="Q20" s="88">
        <f t="shared" si="8"/>
        <v>3</v>
      </c>
      <c r="R20" s="89">
        <f t="shared" si="9"/>
        <v>2</v>
      </c>
      <c r="S20" s="48">
        <v>1.8</v>
      </c>
      <c r="T20" s="89">
        <f t="shared" si="10"/>
        <v>2</v>
      </c>
      <c r="U20" s="92">
        <f t="shared" si="11"/>
        <v>0</v>
      </c>
      <c r="V20" s="95">
        <f t="shared" si="14"/>
        <v>2</v>
      </c>
      <c r="W20" s="53">
        <v>1</v>
      </c>
      <c r="X20" s="53">
        <v>5</v>
      </c>
      <c r="Y20" s="53">
        <f t="shared" si="12"/>
        <v>5</v>
      </c>
      <c r="Z20" s="137">
        <f t="shared" si="13"/>
        <v>1</v>
      </c>
    </row>
    <row r="21" spans="1:26" ht="15" x14ac:dyDescent="0.2">
      <c r="A21" s="6">
        <v>20</v>
      </c>
      <c r="B21" s="59" t="s">
        <v>30</v>
      </c>
      <c r="C21" s="63">
        <v>5.9207000000000001</v>
      </c>
      <c r="D21" s="64">
        <v>110.2</v>
      </c>
      <c r="E21" s="64">
        <f>(13+13+10)/3</f>
        <v>12</v>
      </c>
      <c r="F21" s="65">
        <v>0.1</v>
      </c>
      <c r="G21" s="66">
        <f>(587+587+626)/3</f>
        <v>600</v>
      </c>
      <c r="H21" s="67">
        <f t="shared" si="15"/>
        <v>18.612664043103013</v>
      </c>
      <c r="I21" s="68">
        <f t="shared" si="1"/>
        <v>3</v>
      </c>
      <c r="J21" s="67">
        <f t="shared" si="2"/>
        <v>0.1</v>
      </c>
      <c r="K21" s="68">
        <f t="shared" si="3"/>
        <v>1</v>
      </c>
      <c r="L21" s="69">
        <f t="shared" si="16"/>
        <v>0.02</v>
      </c>
      <c r="M21" s="68">
        <f t="shared" si="5"/>
        <v>2</v>
      </c>
      <c r="N21" s="70">
        <f t="shared" si="6"/>
        <v>2</v>
      </c>
      <c r="O21" s="71">
        <f t="shared" si="7"/>
        <v>3</v>
      </c>
      <c r="P21" s="87">
        <v>1</v>
      </c>
      <c r="Q21" s="88">
        <f t="shared" si="8"/>
        <v>3</v>
      </c>
      <c r="R21" s="89">
        <f t="shared" si="9"/>
        <v>2</v>
      </c>
      <c r="S21" s="48">
        <v>2</v>
      </c>
      <c r="T21" s="89">
        <f t="shared" si="10"/>
        <v>2</v>
      </c>
      <c r="U21" s="92">
        <f t="shared" si="11"/>
        <v>0</v>
      </c>
      <c r="V21" s="95">
        <f t="shared" si="14"/>
        <v>2</v>
      </c>
      <c r="W21" s="53">
        <v>1</v>
      </c>
      <c r="X21" s="53">
        <v>5</v>
      </c>
      <c r="Y21" s="53">
        <f t="shared" si="12"/>
        <v>5</v>
      </c>
      <c r="Z21" s="137">
        <f t="shared" si="13"/>
        <v>1</v>
      </c>
    </row>
    <row r="22" spans="1:26" ht="15" x14ac:dyDescent="0.2">
      <c r="A22" s="6">
        <v>21</v>
      </c>
      <c r="B22" s="59" t="s">
        <v>31</v>
      </c>
      <c r="C22" s="63">
        <v>9.6622000000000003</v>
      </c>
      <c r="D22" s="64">
        <v>41.4</v>
      </c>
      <c r="E22" s="64">
        <f>(1+3+4)/3</f>
        <v>2.6666666666666665</v>
      </c>
      <c r="F22" s="65">
        <v>0.1</v>
      </c>
      <c r="G22" s="66">
        <f>(401+510+541)/3</f>
        <v>484</v>
      </c>
      <c r="H22" s="67">
        <f t="shared" si="15"/>
        <v>4.2847384653598555</v>
      </c>
      <c r="I22" s="68">
        <f t="shared" si="1"/>
        <v>1</v>
      </c>
      <c r="J22" s="67">
        <f t="shared" si="2"/>
        <v>0.1</v>
      </c>
      <c r="K22" s="68">
        <f t="shared" si="3"/>
        <v>1</v>
      </c>
      <c r="L22" s="69">
        <f t="shared" si="16"/>
        <v>5.5096418732782362E-3</v>
      </c>
      <c r="M22" s="68">
        <f t="shared" si="5"/>
        <v>1</v>
      </c>
      <c r="N22" s="70">
        <f t="shared" si="6"/>
        <v>1</v>
      </c>
      <c r="O22" s="71">
        <f t="shared" si="7"/>
        <v>1</v>
      </c>
      <c r="P22" s="87">
        <v>2</v>
      </c>
      <c r="Q22" s="88">
        <f t="shared" si="8"/>
        <v>2</v>
      </c>
      <c r="R22" s="89">
        <f t="shared" si="9"/>
        <v>1</v>
      </c>
      <c r="S22" s="48">
        <v>2</v>
      </c>
      <c r="T22" s="89">
        <f t="shared" si="10"/>
        <v>2</v>
      </c>
      <c r="U22" s="92">
        <f t="shared" si="11"/>
        <v>-1</v>
      </c>
      <c r="V22" s="95">
        <f t="shared" si="14"/>
        <v>2</v>
      </c>
      <c r="W22" s="53">
        <v>1</v>
      </c>
      <c r="X22" s="53">
        <v>5</v>
      </c>
      <c r="Y22" s="53">
        <f t="shared" si="12"/>
        <v>5</v>
      </c>
      <c r="Z22" s="137">
        <f t="shared" si="13"/>
        <v>1</v>
      </c>
    </row>
    <row r="23" spans="1:26" ht="15" x14ac:dyDescent="0.2">
      <c r="A23" s="6">
        <v>22</v>
      </c>
      <c r="B23" s="59" t="s">
        <v>32</v>
      </c>
      <c r="C23" s="63">
        <v>31.976300000000002</v>
      </c>
      <c r="D23" s="64">
        <f>(363.9+396.1)/2</f>
        <v>380</v>
      </c>
      <c r="E23" s="64">
        <f>(319+304+330)/3</f>
        <v>317.66666666666669</v>
      </c>
      <c r="F23" s="65">
        <v>1.3</v>
      </c>
      <c r="G23" s="66">
        <f>(7915+8062+7853)/3</f>
        <v>7943.333333333333</v>
      </c>
      <c r="H23" s="67">
        <f t="shared" si="15"/>
        <v>11.883801440441827</v>
      </c>
      <c r="I23" s="68">
        <f t="shared" si="1"/>
        <v>2</v>
      </c>
      <c r="J23" s="67">
        <f t="shared" si="2"/>
        <v>1.3</v>
      </c>
      <c r="K23" s="68">
        <f t="shared" si="3"/>
        <v>3</v>
      </c>
      <c r="L23" s="69">
        <f t="shared" si="16"/>
        <v>3.9991607217792699E-2</v>
      </c>
      <c r="M23" s="68">
        <f t="shared" si="5"/>
        <v>3</v>
      </c>
      <c r="N23" s="70">
        <f t="shared" si="6"/>
        <v>2.7</v>
      </c>
      <c r="O23" s="71">
        <f t="shared" si="7"/>
        <v>3</v>
      </c>
      <c r="P23" s="87">
        <v>2</v>
      </c>
      <c r="Q23" s="88">
        <f t="shared" si="8"/>
        <v>6</v>
      </c>
      <c r="R23" s="89">
        <f t="shared" si="9"/>
        <v>3</v>
      </c>
      <c r="S23" s="48">
        <v>2.6</v>
      </c>
      <c r="T23" s="89">
        <f t="shared" si="10"/>
        <v>3</v>
      </c>
      <c r="U23" s="92">
        <f t="shared" si="11"/>
        <v>0</v>
      </c>
      <c r="V23" s="95">
        <f t="shared" si="14"/>
        <v>2</v>
      </c>
      <c r="W23" s="53">
        <v>1</v>
      </c>
      <c r="X23" s="53">
        <v>5</v>
      </c>
      <c r="Y23" s="53">
        <f t="shared" si="12"/>
        <v>5</v>
      </c>
      <c r="Z23" s="137">
        <f t="shared" si="13"/>
        <v>1</v>
      </c>
    </row>
    <row r="24" spans="1:26" ht="15" x14ac:dyDescent="0.2">
      <c r="A24" s="6">
        <v>23</v>
      </c>
      <c r="B24" s="59" t="s">
        <v>33</v>
      </c>
      <c r="C24" s="63">
        <v>10.990699999999999</v>
      </c>
      <c r="D24" s="64">
        <v>73.2</v>
      </c>
      <c r="E24" s="64">
        <f>(15+14+20)/3</f>
        <v>16.333333333333332</v>
      </c>
      <c r="F24" s="65">
        <v>3.9</v>
      </c>
      <c r="G24" s="66">
        <f>(1358+1400+1433)/3</f>
        <v>1397</v>
      </c>
      <c r="H24" s="67">
        <f t="shared" si="15"/>
        <v>6.6601763308979418</v>
      </c>
      <c r="I24" s="68">
        <f t="shared" si="1"/>
        <v>1</v>
      </c>
      <c r="J24" s="67">
        <f t="shared" si="2"/>
        <v>3.9</v>
      </c>
      <c r="K24" s="68">
        <f t="shared" si="3"/>
        <v>3</v>
      </c>
      <c r="L24" s="69">
        <f t="shared" si="16"/>
        <v>1.1691720353137675E-2</v>
      </c>
      <c r="M24" s="68">
        <f t="shared" si="5"/>
        <v>1</v>
      </c>
      <c r="N24" s="70">
        <f t="shared" si="6"/>
        <v>1.6</v>
      </c>
      <c r="O24" s="71">
        <f t="shared" si="7"/>
        <v>2</v>
      </c>
      <c r="P24" s="87">
        <v>2</v>
      </c>
      <c r="Q24" s="88">
        <f t="shared" si="8"/>
        <v>4</v>
      </c>
      <c r="R24" s="89">
        <f t="shared" si="9"/>
        <v>2</v>
      </c>
      <c r="S24" s="48">
        <v>1.4</v>
      </c>
      <c r="T24" s="89">
        <f t="shared" si="10"/>
        <v>1</v>
      </c>
      <c r="U24" s="92">
        <f t="shared" si="11"/>
        <v>1</v>
      </c>
      <c r="V24" s="95">
        <f t="shared" si="14"/>
        <v>3</v>
      </c>
      <c r="W24" s="53">
        <v>1</v>
      </c>
      <c r="X24" s="53">
        <v>5</v>
      </c>
      <c r="Y24" s="53">
        <f t="shared" si="12"/>
        <v>5</v>
      </c>
      <c r="Z24" s="137">
        <f t="shared" si="13"/>
        <v>1</v>
      </c>
    </row>
    <row r="25" spans="1:26" ht="15" x14ac:dyDescent="0.2">
      <c r="A25" s="6">
        <v>24</v>
      </c>
      <c r="B25" s="59" t="s">
        <v>34</v>
      </c>
      <c r="C25" s="63">
        <v>6.5888999999999998</v>
      </c>
      <c r="D25" s="64">
        <v>22.5</v>
      </c>
      <c r="E25" s="64">
        <f>(20+10+5)/3</f>
        <v>11.666666666666666</v>
      </c>
      <c r="F25" s="65">
        <v>0.4</v>
      </c>
      <c r="G25" s="66">
        <f>(311+375+375)/3</f>
        <v>353.66666666666669</v>
      </c>
      <c r="H25" s="67">
        <f t="shared" si="15"/>
        <v>3.4148340390657017</v>
      </c>
      <c r="I25" s="68">
        <f t="shared" si="1"/>
        <v>1</v>
      </c>
      <c r="J25" s="67">
        <f t="shared" si="2"/>
        <v>0.4</v>
      </c>
      <c r="K25" s="68">
        <f t="shared" si="3"/>
        <v>2</v>
      </c>
      <c r="L25" s="69">
        <f t="shared" si="16"/>
        <v>3.2987747408105554E-2</v>
      </c>
      <c r="M25" s="68">
        <f t="shared" si="5"/>
        <v>2</v>
      </c>
      <c r="N25" s="70">
        <f t="shared" si="6"/>
        <v>1.7</v>
      </c>
      <c r="O25" s="71">
        <f t="shared" si="7"/>
        <v>2</v>
      </c>
      <c r="P25" s="87">
        <v>2</v>
      </c>
      <c r="Q25" s="88">
        <f t="shared" si="8"/>
        <v>4</v>
      </c>
      <c r="R25" s="89">
        <f t="shared" si="9"/>
        <v>2</v>
      </c>
      <c r="S25" s="48">
        <v>2.8</v>
      </c>
      <c r="T25" s="89">
        <f t="shared" si="10"/>
        <v>3</v>
      </c>
      <c r="U25" s="92">
        <f t="shared" si="11"/>
        <v>-1</v>
      </c>
      <c r="V25" s="95">
        <f t="shared" si="14"/>
        <v>2</v>
      </c>
      <c r="W25" s="53">
        <v>1</v>
      </c>
      <c r="X25" s="53">
        <v>5</v>
      </c>
      <c r="Y25" s="53">
        <f t="shared" si="12"/>
        <v>5</v>
      </c>
      <c r="Z25" s="137">
        <f t="shared" si="13"/>
        <v>1</v>
      </c>
    </row>
    <row r="26" spans="1:26" ht="15" x14ac:dyDescent="0.2">
      <c r="A26" s="6">
        <v>25</v>
      </c>
      <c r="B26" s="59" t="s">
        <v>35</v>
      </c>
      <c r="C26" s="63">
        <v>5.2039999999999997</v>
      </c>
      <c r="D26" s="64">
        <v>56.3</v>
      </c>
      <c r="E26" s="64">
        <f>(24+3+16)/3</f>
        <v>14.333333333333334</v>
      </c>
      <c r="F26" s="65">
        <v>0.9</v>
      </c>
      <c r="G26" s="66">
        <f>(1144+1153+1174)/3</f>
        <v>1157</v>
      </c>
      <c r="H26" s="67">
        <f t="shared" si="15"/>
        <v>10.818601076095311</v>
      </c>
      <c r="I26" s="68">
        <f t="shared" si="1"/>
        <v>2</v>
      </c>
      <c r="J26" s="67">
        <f t="shared" si="2"/>
        <v>0.9</v>
      </c>
      <c r="K26" s="68">
        <f t="shared" si="3"/>
        <v>2</v>
      </c>
      <c r="L26" s="69">
        <f t="shared" si="16"/>
        <v>1.2388360702967446E-2</v>
      </c>
      <c r="M26" s="68">
        <f t="shared" si="5"/>
        <v>1</v>
      </c>
      <c r="N26" s="70">
        <f t="shared" si="6"/>
        <v>1.6</v>
      </c>
      <c r="O26" s="71">
        <f t="shared" si="7"/>
        <v>2</v>
      </c>
      <c r="P26" s="87">
        <v>2</v>
      </c>
      <c r="Q26" s="88">
        <f t="shared" si="8"/>
        <v>4</v>
      </c>
      <c r="R26" s="89">
        <f t="shared" si="9"/>
        <v>2</v>
      </c>
      <c r="S26" s="48">
        <v>2</v>
      </c>
      <c r="T26" s="89">
        <f t="shared" si="10"/>
        <v>2</v>
      </c>
      <c r="U26" s="92">
        <f t="shared" si="11"/>
        <v>0</v>
      </c>
      <c r="V26" s="95">
        <f t="shared" si="14"/>
        <v>2</v>
      </c>
      <c r="W26" s="53">
        <v>1</v>
      </c>
      <c r="X26" s="53">
        <v>5</v>
      </c>
      <c r="Y26" s="53">
        <f t="shared" si="12"/>
        <v>5</v>
      </c>
      <c r="Z26" s="137">
        <f t="shared" si="13"/>
        <v>1</v>
      </c>
    </row>
    <row r="27" spans="1:26" ht="15.75" thickBot="1" x14ac:dyDescent="0.25">
      <c r="A27" s="7">
        <v>26</v>
      </c>
      <c r="B27" s="62" t="s">
        <v>36</v>
      </c>
      <c r="C27" s="72">
        <v>8.3988999999999994</v>
      </c>
      <c r="D27" s="73">
        <v>92.5</v>
      </c>
      <c r="E27" s="73">
        <f>(17+27+18)/3</f>
        <v>20.666666666666668</v>
      </c>
      <c r="F27" s="74">
        <f>E27/D27</f>
        <v>0.22342342342342345</v>
      </c>
      <c r="G27" s="75">
        <f>(585+601+616)/3</f>
        <v>600.66666666666663</v>
      </c>
      <c r="H27" s="76">
        <f t="shared" si="15"/>
        <v>11.013346985914824</v>
      </c>
      <c r="I27" s="77">
        <f t="shared" si="1"/>
        <v>2</v>
      </c>
      <c r="J27" s="76">
        <f t="shared" si="2"/>
        <v>0.22342342342342345</v>
      </c>
      <c r="K27" s="77">
        <f t="shared" si="3"/>
        <v>2</v>
      </c>
      <c r="L27" s="78">
        <f t="shared" si="16"/>
        <v>3.4406215316315207E-2</v>
      </c>
      <c r="M27" s="77">
        <f t="shared" si="5"/>
        <v>2</v>
      </c>
      <c r="N27" s="70">
        <f t="shared" si="6"/>
        <v>2</v>
      </c>
      <c r="O27" s="79">
        <f t="shared" si="7"/>
        <v>3</v>
      </c>
      <c r="P27" s="87">
        <v>1</v>
      </c>
      <c r="Q27" s="88">
        <f t="shared" si="8"/>
        <v>3</v>
      </c>
      <c r="R27" s="90">
        <f t="shared" si="9"/>
        <v>2</v>
      </c>
      <c r="S27" s="48">
        <v>1.4</v>
      </c>
      <c r="T27" s="90">
        <f t="shared" si="10"/>
        <v>1</v>
      </c>
      <c r="U27" s="92">
        <f t="shared" si="11"/>
        <v>1</v>
      </c>
      <c r="V27" s="97">
        <f t="shared" si="14"/>
        <v>3</v>
      </c>
      <c r="W27" s="53">
        <v>1</v>
      </c>
      <c r="X27" s="53">
        <v>5</v>
      </c>
      <c r="Y27" s="53">
        <f t="shared" si="12"/>
        <v>5</v>
      </c>
      <c r="Z27" s="137">
        <f t="shared" si="13"/>
        <v>1</v>
      </c>
    </row>
  </sheetData>
  <sortState xmlns:xlrd2="http://schemas.microsoft.com/office/spreadsheetml/2017/richdata2" ref="A2:Z27">
    <sortCondition ref="A2:A2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5AB1E-6E5F-4C86-8D90-508F6A92E0CC}">
  <dimension ref="A1:X56"/>
  <sheetViews>
    <sheetView zoomScale="70" zoomScaleNormal="70" workbookViewId="0">
      <pane xSplit="2" ySplit="1" topLeftCell="I2" activePane="bottomRight" state="frozen"/>
      <selection pane="topRight" activeCell="C1" sqref="C1"/>
      <selection pane="bottomLeft" activeCell="A2" sqref="A2"/>
      <selection pane="bottomRight" activeCell="J21" sqref="J21"/>
    </sheetView>
  </sheetViews>
  <sheetFormatPr defaultColWidth="8.7109375" defaultRowHeight="14.25" x14ac:dyDescent="0.2"/>
  <cols>
    <col min="1" max="1" width="8.7109375" style="1"/>
    <col min="2" max="2" width="23.7109375" style="1" customWidth="1"/>
    <col min="3" max="3" width="21.28515625" style="1" customWidth="1"/>
    <col min="4" max="4" width="18" style="1" customWidth="1"/>
    <col min="5" max="5" width="18.85546875" style="1" customWidth="1"/>
    <col min="6" max="6" width="16" style="1" customWidth="1"/>
    <col min="7" max="7" width="13.42578125" style="1" customWidth="1"/>
    <col min="8" max="8" width="22.140625" style="1" customWidth="1"/>
    <col min="9" max="9" width="15.140625" style="1" customWidth="1"/>
    <col min="10" max="10" width="27.140625" style="1" customWidth="1"/>
    <col min="11" max="11" width="20.85546875" style="1" customWidth="1"/>
    <col min="12" max="12" width="18" style="1" customWidth="1"/>
    <col min="13" max="13" width="15.42578125" style="2" customWidth="1"/>
    <col min="14" max="14" width="18.28515625" style="2" bestFit="1" customWidth="1"/>
    <col min="15" max="15" width="14.42578125" style="2" customWidth="1"/>
    <col min="16" max="16" width="16" style="2" customWidth="1"/>
    <col min="17" max="17" width="19.140625" style="2" customWidth="1"/>
    <col min="18" max="18" width="19.85546875" style="2" customWidth="1"/>
    <col min="19" max="19" width="16.85546875" style="2" customWidth="1"/>
    <col min="20" max="20" width="15.140625" style="2" customWidth="1"/>
    <col min="21" max="21" width="18.140625" style="2" customWidth="1"/>
    <col min="22" max="22" width="16.85546875" style="2" customWidth="1"/>
    <col min="23" max="23" width="16.28515625" style="2" customWidth="1"/>
    <col min="24" max="24" width="16.42578125" style="1" customWidth="1"/>
    <col min="25" max="16384" width="8.7109375" style="1"/>
  </cols>
  <sheetData>
    <row r="1" spans="1:24" s="98" customFormat="1" ht="105" x14ac:dyDescent="0.25">
      <c r="A1" s="4" t="s">
        <v>0</v>
      </c>
      <c r="B1" s="61" t="s">
        <v>1</v>
      </c>
      <c r="C1" s="34" t="s">
        <v>57</v>
      </c>
      <c r="D1" s="36" t="s">
        <v>45</v>
      </c>
      <c r="E1" s="34" t="s">
        <v>55</v>
      </c>
      <c r="F1" s="101" t="s">
        <v>47</v>
      </c>
      <c r="G1" s="102" t="s">
        <v>44</v>
      </c>
      <c r="H1" s="34" t="s">
        <v>56</v>
      </c>
      <c r="I1" s="36" t="s">
        <v>49</v>
      </c>
      <c r="J1" s="34" t="s">
        <v>40</v>
      </c>
      <c r="K1" s="36" t="s">
        <v>58</v>
      </c>
      <c r="L1" s="41" t="s">
        <v>59</v>
      </c>
      <c r="M1" s="39" t="s">
        <v>2</v>
      </c>
      <c r="N1" s="37" t="s">
        <v>3</v>
      </c>
      <c r="O1" s="38" t="s">
        <v>4</v>
      </c>
      <c r="P1" s="39" t="s">
        <v>5</v>
      </c>
      <c r="Q1" s="37" t="s">
        <v>54</v>
      </c>
      <c r="R1" s="37" t="s">
        <v>6</v>
      </c>
      <c r="S1" s="38" t="s">
        <v>7</v>
      </c>
      <c r="T1" s="39" t="s">
        <v>8</v>
      </c>
      <c r="U1" s="40" t="s">
        <v>9</v>
      </c>
      <c r="V1" s="40" t="s">
        <v>10</v>
      </c>
      <c r="W1" s="40" t="s">
        <v>11</v>
      </c>
      <c r="X1" s="40" t="s">
        <v>12</v>
      </c>
    </row>
    <row r="2" spans="1:24" ht="15" x14ac:dyDescent="0.2">
      <c r="A2" s="6">
        <v>1</v>
      </c>
      <c r="B2" s="59" t="s">
        <v>13</v>
      </c>
      <c r="C2" s="67">
        <f>(1262.5+1103.7+1153.6)/3</f>
        <v>1173.2666666666667</v>
      </c>
      <c r="D2" s="68">
        <f t="shared" ref="D2:D27" si="0">IF(C2&lt;422,1,IF(C2&lt;1000,2,IF(C2&lt;3600,3,4)))</f>
        <v>3</v>
      </c>
      <c r="E2" s="99">
        <v>73.900000000000006</v>
      </c>
      <c r="F2" s="68">
        <f t="shared" ref="F2:F27" si="1">IF(E2&lt;30,1,IF(E2&lt;52,2,IF(E2&lt;92,3,4)))</f>
        <v>3</v>
      </c>
      <c r="G2" s="103">
        <f>(19+16+47)/3</f>
        <v>27.333333333333332</v>
      </c>
      <c r="H2" s="99">
        <f>G2/((17133+17052)/2)</f>
        <v>1.5991419238457413E-3</v>
      </c>
      <c r="I2" s="68">
        <f t="shared" ref="I2:I27" si="2">IF(H2&lt;0.001,1,IF(H2&lt;0.003,2,IF(H2&lt;0.007,3,4)))</f>
        <v>2</v>
      </c>
      <c r="J2" s="99">
        <v>25.1</v>
      </c>
      <c r="K2" s="68">
        <f t="shared" ref="K2:K27" si="3">IF(J2&lt;14,1,IF(J2&lt;30,2,IF(J2&lt;50,3,4)))</f>
        <v>2</v>
      </c>
      <c r="L2" s="70">
        <f t="shared" ref="L2:L27" si="4">((D2*20)+(F2*20)+(I2*20)+(K2*40)/100%)</f>
        <v>240</v>
      </c>
      <c r="M2" s="89">
        <f t="shared" ref="M2:M27" si="5">IF(L2&lt;160,1,IF(L2&lt;230,2,IF(L2&lt;300,3,4)))</f>
        <v>3</v>
      </c>
      <c r="N2" s="105">
        <v>3</v>
      </c>
      <c r="O2" s="88">
        <f t="shared" ref="O2:O27" si="6">M2*N2</f>
        <v>9</v>
      </c>
      <c r="P2" s="89">
        <f t="shared" ref="P2:P27" si="7">IF(O2&lt;3,1,IF(O2&lt;5,2,IF(O2&lt;12,3,4)))</f>
        <v>3</v>
      </c>
      <c r="Q2" s="48">
        <v>1.4</v>
      </c>
      <c r="R2" s="47">
        <f>IF(Q2&lt;1.5,1,IF(Q2&lt;2.5,2,IF(Q2&lt;3.3,3,4)))</f>
        <v>1</v>
      </c>
      <c r="S2" s="88">
        <f>P2-R2</f>
        <v>2</v>
      </c>
      <c r="T2" s="94">
        <f>IF(S2&lt;-1,1,IF(S2&lt;1,2,IF(S2=1,3,4)))</f>
        <v>4</v>
      </c>
      <c r="U2" s="53">
        <v>2</v>
      </c>
      <c r="V2" s="53">
        <v>6</v>
      </c>
      <c r="W2" s="53">
        <f>U2*V2</f>
        <v>12</v>
      </c>
      <c r="X2" s="138">
        <f>IF(W2&lt;6,1,IF(W2&lt;12,2,IF(W2&lt;18,3,4)))</f>
        <v>3</v>
      </c>
    </row>
    <row r="3" spans="1:24" ht="15" x14ac:dyDescent="0.2">
      <c r="A3" s="6">
        <v>2</v>
      </c>
      <c r="B3" s="59" t="s">
        <v>14</v>
      </c>
      <c r="C3" s="99">
        <v>187.8</v>
      </c>
      <c r="D3" s="68">
        <f t="shared" si="0"/>
        <v>1</v>
      </c>
      <c r="E3" s="99">
        <v>27.4</v>
      </c>
      <c r="F3" s="68">
        <f t="shared" si="1"/>
        <v>1</v>
      </c>
      <c r="G3" s="103">
        <f>(9+4+7)/3</f>
        <v>6.666666666666667</v>
      </c>
      <c r="H3" s="99">
        <f>G3/2770</f>
        <v>2.4067388688327317E-3</v>
      </c>
      <c r="I3" s="68">
        <f t="shared" si="2"/>
        <v>2</v>
      </c>
      <c r="J3" s="99">
        <v>46</v>
      </c>
      <c r="K3" s="68">
        <f t="shared" si="3"/>
        <v>3</v>
      </c>
      <c r="L3" s="70">
        <f t="shared" si="4"/>
        <v>200</v>
      </c>
      <c r="M3" s="89">
        <f t="shared" si="5"/>
        <v>2</v>
      </c>
      <c r="N3" s="105">
        <v>3</v>
      </c>
      <c r="O3" s="88">
        <f t="shared" si="6"/>
        <v>6</v>
      </c>
      <c r="P3" s="89">
        <f t="shared" si="7"/>
        <v>3</v>
      </c>
      <c r="Q3" s="48">
        <v>1.8</v>
      </c>
      <c r="R3" s="47">
        <f>IF(Q3&lt;1.5,1,IF(Q3&lt;2.5,2,IF(Q3&lt;3.3,3,4)))</f>
        <v>2</v>
      </c>
      <c r="S3" s="88">
        <f>P3-R3</f>
        <v>1</v>
      </c>
      <c r="T3" s="94">
        <f>IF(S3&lt;-1,1,IF(S3&lt;1,2,IF(S3=1,3,4)))</f>
        <v>3</v>
      </c>
      <c r="U3" s="53">
        <v>2</v>
      </c>
      <c r="V3" s="53">
        <v>6</v>
      </c>
      <c r="W3" s="53">
        <f t="shared" ref="W3:W27" si="8">U3*V3</f>
        <v>12</v>
      </c>
      <c r="X3" s="138">
        <f t="shared" ref="X3:X27" si="9">IF(W3&lt;6,1,IF(W3&lt;12,2,IF(W3&lt;18,3,4)))</f>
        <v>3</v>
      </c>
    </row>
    <row r="4" spans="1:24" ht="25.5" x14ac:dyDescent="0.2">
      <c r="A4" s="6">
        <v>3</v>
      </c>
      <c r="B4" s="60" t="s">
        <v>41</v>
      </c>
      <c r="C4" s="99">
        <v>882.76</v>
      </c>
      <c r="D4" s="68">
        <f t="shared" si="0"/>
        <v>2</v>
      </c>
      <c r="E4" s="99">
        <v>38.630000000000003</v>
      </c>
      <c r="F4" s="68">
        <f t="shared" si="1"/>
        <v>2</v>
      </c>
      <c r="G4" s="103">
        <f>(48+43+44)/3</f>
        <v>45</v>
      </c>
      <c r="H4" s="99">
        <f>G4/15236</f>
        <v>2.9535311105276974E-3</v>
      </c>
      <c r="I4" s="68">
        <f t="shared" si="2"/>
        <v>2</v>
      </c>
      <c r="J4" s="99">
        <v>27.8</v>
      </c>
      <c r="K4" s="68">
        <f t="shared" si="3"/>
        <v>2</v>
      </c>
      <c r="L4" s="70">
        <f t="shared" si="4"/>
        <v>200</v>
      </c>
      <c r="M4" s="89">
        <f t="shared" si="5"/>
        <v>2</v>
      </c>
      <c r="N4" s="105">
        <v>2</v>
      </c>
      <c r="O4" s="88">
        <f t="shared" si="6"/>
        <v>4</v>
      </c>
      <c r="P4" s="89">
        <f t="shared" si="7"/>
        <v>2</v>
      </c>
      <c r="Q4" s="48">
        <v>3.8</v>
      </c>
      <c r="R4" s="47">
        <f>IF(Q4&lt;1.5,1,IF(Q4&lt;2.5,2,IF(Q4&lt;3.3,3,4)))</f>
        <v>4</v>
      </c>
      <c r="S4" s="88">
        <f>P4-R4</f>
        <v>-2</v>
      </c>
      <c r="T4" s="93">
        <f>IF(S4&lt;-1,1,IF(S4&lt;1,2,IF(S4=1,3,4)))</f>
        <v>1</v>
      </c>
      <c r="U4" s="53">
        <v>2</v>
      </c>
      <c r="V4" s="53">
        <v>6</v>
      </c>
      <c r="W4" s="53">
        <f t="shared" si="8"/>
        <v>12</v>
      </c>
      <c r="X4" s="138">
        <f t="shared" si="9"/>
        <v>3</v>
      </c>
    </row>
    <row r="5" spans="1:24" ht="15" x14ac:dyDescent="0.2">
      <c r="A5" s="6">
        <v>4</v>
      </c>
      <c r="B5" s="59" t="s">
        <v>15</v>
      </c>
      <c r="C5" s="99">
        <v>359.23</v>
      </c>
      <c r="D5" s="68">
        <f t="shared" si="0"/>
        <v>1</v>
      </c>
      <c r="E5" s="99">
        <v>87.78</v>
      </c>
      <c r="F5" s="68">
        <f t="shared" si="1"/>
        <v>3</v>
      </c>
      <c r="G5" s="103">
        <f>(9+12+10)/3</f>
        <v>10.333333333333334</v>
      </c>
      <c r="H5" s="99">
        <f>G5/3563</f>
        <v>2.9001777528300122E-3</v>
      </c>
      <c r="I5" s="68">
        <f t="shared" si="2"/>
        <v>2</v>
      </c>
      <c r="J5" s="99">
        <v>13.4</v>
      </c>
      <c r="K5" s="68">
        <f t="shared" si="3"/>
        <v>1</v>
      </c>
      <c r="L5" s="70">
        <f t="shared" si="4"/>
        <v>160</v>
      </c>
      <c r="M5" s="89">
        <f t="shared" si="5"/>
        <v>2</v>
      </c>
      <c r="N5" s="105">
        <v>1</v>
      </c>
      <c r="O5" s="88">
        <f t="shared" si="6"/>
        <v>2</v>
      </c>
      <c r="P5" s="89">
        <f t="shared" si="7"/>
        <v>1</v>
      </c>
      <c r="Q5" s="48">
        <v>2.4</v>
      </c>
      <c r="R5" s="47">
        <f>IF(Q5&lt;1.5,1,IF(Q5&lt;2.5,2,IF(Q5&lt;3.3,3,4)))</f>
        <v>2</v>
      </c>
      <c r="S5" s="88">
        <f>P5-R5</f>
        <v>-1</v>
      </c>
      <c r="T5" s="93">
        <f>IF(S5&lt;-1,1,IF(S5&lt;1,2,IF(S5=1,3,4)))</f>
        <v>2</v>
      </c>
      <c r="U5" s="53">
        <v>2</v>
      </c>
      <c r="V5" s="53">
        <v>6</v>
      </c>
      <c r="W5" s="53">
        <f t="shared" si="8"/>
        <v>12</v>
      </c>
      <c r="X5" s="138">
        <f t="shared" si="9"/>
        <v>3</v>
      </c>
    </row>
    <row r="6" spans="1:24" ht="15" x14ac:dyDescent="0.2">
      <c r="A6" s="6">
        <v>5</v>
      </c>
      <c r="B6" s="59" t="s">
        <v>16</v>
      </c>
      <c r="C6" s="99">
        <v>2160.2600000000002</v>
      </c>
      <c r="D6" s="68">
        <f t="shared" si="0"/>
        <v>3</v>
      </c>
      <c r="E6" s="99">
        <v>189.36</v>
      </c>
      <c r="F6" s="68">
        <f t="shared" si="1"/>
        <v>4</v>
      </c>
      <c r="G6" s="103">
        <f>(49+42+49)/3</f>
        <v>46.666666666666664</v>
      </c>
      <c r="H6" s="99">
        <f>G6/7889</f>
        <v>5.9154096421177166E-3</v>
      </c>
      <c r="I6" s="68">
        <f t="shared" si="2"/>
        <v>3</v>
      </c>
      <c r="J6" s="99">
        <v>62.8</v>
      </c>
      <c r="K6" s="68">
        <f t="shared" si="3"/>
        <v>4</v>
      </c>
      <c r="L6" s="70">
        <f t="shared" si="4"/>
        <v>360</v>
      </c>
      <c r="M6" s="89">
        <f t="shared" si="5"/>
        <v>4</v>
      </c>
      <c r="N6" s="105">
        <v>1</v>
      </c>
      <c r="O6" s="88">
        <f t="shared" si="6"/>
        <v>4</v>
      </c>
      <c r="P6" s="89">
        <f t="shared" si="7"/>
        <v>2</v>
      </c>
      <c r="Q6" s="48" t="s">
        <v>37</v>
      </c>
      <c r="R6" s="47" t="s">
        <v>37</v>
      </c>
      <c r="S6" s="92" t="s">
        <v>37</v>
      </c>
      <c r="T6" s="95">
        <f>P6</f>
        <v>2</v>
      </c>
      <c r="U6" s="53">
        <v>2</v>
      </c>
      <c r="V6" s="53">
        <v>6</v>
      </c>
      <c r="W6" s="53">
        <f t="shared" si="8"/>
        <v>12</v>
      </c>
      <c r="X6" s="138">
        <f t="shared" si="9"/>
        <v>3</v>
      </c>
    </row>
    <row r="7" spans="1:24" ht="15" x14ac:dyDescent="0.2">
      <c r="A7" s="6">
        <v>6</v>
      </c>
      <c r="B7" s="59" t="s">
        <v>17</v>
      </c>
      <c r="C7" s="99">
        <v>229.63</v>
      </c>
      <c r="D7" s="68">
        <f t="shared" si="0"/>
        <v>1</v>
      </c>
      <c r="E7" s="99">
        <v>21.66</v>
      </c>
      <c r="F7" s="68">
        <f t="shared" si="1"/>
        <v>1</v>
      </c>
      <c r="G7" s="103">
        <f>(28+39+41)/3</f>
        <v>36</v>
      </c>
      <c r="H7" s="99">
        <f>G7/7187</f>
        <v>5.0090441074161678E-3</v>
      </c>
      <c r="I7" s="68">
        <f t="shared" si="2"/>
        <v>3</v>
      </c>
      <c r="J7" s="99">
        <v>13.3</v>
      </c>
      <c r="K7" s="68">
        <f t="shared" si="3"/>
        <v>1</v>
      </c>
      <c r="L7" s="70">
        <f t="shared" si="4"/>
        <v>140</v>
      </c>
      <c r="M7" s="89">
        <f t="shared" si="5"/>
        <v>1</v>
      </c>
      <c r="N7" s="105">
        <v>3</v>
      </c>
      <c r="O7" s="88">
        <f t="shared" si="6"/>
        <v>3</v>
      </c>
      <c r="P7" s="89">
        <f t="shared" si="7"/>
        <v>2</v>
      </c>
      <c r="Q7" s="48">
        <v>1.4</v>
      </c>
      <c r="R7" s="47">
        <f t="shared" ref="R7:R27" si="10">IF(Q7&lt;1.5,1,IF(Q7&lt;2.5,2,IF(Q7&lt;3.3,3,4)))</f>
        <v>1</v>
      </c>
      <c r="S7" s="88">
        <f t="shared" ref="S7:S27" si="11">P7-R7</f>
        <v>1</v>
      </c>
      <c r="T7" s="95">
        <f t="shared" ref="T7:T27" si="12">IF(S7&lt;-1,1,IF(S7&lt;1,2,IF(S7=1,3,4)))</f>
        <v>3</v>
      </c>
      <c r="U7" s="53">
        <v>2</v>
      </c>
      <c r="V7" s="53">
        <v>6</v>
      </c>
      <c r="W7" s="53">
        <f t="shared" si="8"/>
        <v>12</v>
      </c>
      <c r="X7" s="138">
        <f t="shared" si="9"/>
        <v>3</v>
      </c>
    </row>
    <row r="8" spans="1:24" ht="15" x14ac:dyDescent="0.2">
      <c r="A8" s="6">
        <v>7</v>
      </c>
      <c r="B8" s="59" t="s">
        <v>18</v>
      </c>
      <c r="C8" s="67">
        <v>846.36666666666667</v>
      </c>
      <c r="D8" s="68">
        <f t="shared" si="0"/>
        <v>2</v>
      </c>
      <c r="E8" s="99">
        <v>76.900000000000006</v>
      </c>
      <c r="F8" s="68">
        <f t="shared" si="1"/>
        <v>3</v>
      </c>
      <c r="G8" s="103">
        <v>39</v>
      </c>
      <c r="H8" s="99">
        <f>G8/6331</f>
        <v>6.1601642710472282E-3</v>
      </c>
      <c r="I8" s="68">
        <f t="shared" si="2"/>
        <v>3</v>
      </c>
      <c r="J8" s="99">
        <v>42.7</v>
      </c>
      <c r="K8" s="68">
        <f t="shared" si="3"/>
        <v>3</v>
      </c>
      <c r="L8" s="70">
        <f t="shared" si="4"/>
        <v>280</v>
      </c>
      <c r="M8" s="89">
        <f t="shared" si="5"/>
        <v>3</v>
      </c>
      <c r="N8" s="105">
        <v>1</v>
      </c>
      <c r="O8" s="88">
        <f t="shared" si="6"/>
        <v>3</v>
      </c>
      <c r="P8" s="89">
        <f t="shared" si="7"/>
        <v>2</v>
      </c>
      <c r="Q8" s="48">
        <v>1.2</v>
      </c>
      <c r="R8" s="47">
        <f t="shared" si="10"/>
        <v>1</v>
      </c>
      <c r="S8" s="88">
        <f t="shared" si="11"/>
        <v>1</v>
      </c>
      <c r="T8" s="94">
        <f t="shared" si="12"/>
        <v>3</v>
      </c>
      <c r="U8" s="53">
        <v>2</v>
      </c>
      <c r="V8" s="53">
        <v>6</v>
      </c>
      <c r="W8" s="53">
        <f t="shared" si="8"/>
        <v>12</v>
      </c>
      <c r="X8" s="138">
        <f t="shared" si="9"/>
        <v>3</v>
      </c>
    </row>
    <row r="9" spans="1:24" ht="15" x14ac:dyDescent="0.2">
      <c r="A9" s="6">
        <v>8</v>
      </c>
      <c r="B9" s="59" t="s">
        <v>19</v>
      </c>
      <c r="C9" s="99">
        <v>977</v>
      </c>
      <c r="D9" s="68">
        <f t="shared" si="0"/>
        <v>2</v>
      </c>
      <c r="E9" s="99">
        <v>126.3</v>
      </c>
      <c r="F9" s="68">
        <f t="shared" si="1"/>
        <v>4</v>
      </c>
      <c r="G9" s="103">
        <f>(26+10+12)/3</f>
        <v>16</v>
      </c>
      <c r="H9" s="99">
        <f>G9/4502</f>
        <v>3.5539760106619279E-3</v>
      </c>
      <c r="I9" s="68">
        <f t="shared" si="2"/>
        <v>3</v>
      </c>
      <c r="J9" s="99">
        <v>51.8</v>
      </c>
      <c r="K9" s="68">
        <f t="shared" si="3"/>
        <v>4</v>
      </c>
      <c r="L9" s="70">
        <f t="shared" si="4"/>
        <v>340</v>
      </c>
      <c r="M9" s="89">
        <f t="shared" si="5"/>
        <v>4</v>
      </c>
      <c r="N9" s="105">
        <v>2</v>
      </c>
      <c r="O9" s="88">
        <f t="shared" si="6"/>
        <v>8</v>
      </c>
      <c r="P9" s="89">
        <f t="shared" si="7"/>
        <v>3</v>
      </c>
      <c r="Q9" s="48">
        <v>3</v>
      </c>
      <c r="R9" s="47">
        <f t="shared" si="10"/>
        <v>3</v>
      </c>
      <c r="S9" s="88">
        <f t="shared" si="11"/>
        <v>0</v>
      </c>
      <c r="T9" s="95">
        <f t="shared" si="12"/>
        <v>2</v>
      </c>
      <c r="U9" s="53">
        <v>2</v>
      </c>
      <c r="V9" s="53">
        <v>6</v>
      </c>
      <c r="W9" s="53">
        <f t="shared" si="8"/>
        <v>12</v>
      </c>
      <c r="X9" s="138">
        <f t="shared" si="9"/>
        <v>3</v>
      </c>
    </row>
    <row r="10" spans="1:24" ht="15" x14ac:dyDescent="0.2">
      <c r="A10" s="6">
        <v>9</v>
      </c>
      <c r="B10" s="59" t="s">
        <v>20</v>
      </c>
      <c r="C10" s="99">
        <v>104.5</v>
      </c>
      <c r="D10" s="68">
        <f t="shared" si="0"/>
        <v>1</v>
      </c>
      <c r="E10" s="99">
        <v>13.13</v>
      </c>
      <c r="F10" s="68">
        <f t="shared" si="1"/>
        <v>1</v>
      </c>
      <c r="G10" s="103">
        <f>(9+3+6)/3</f>
        <v>6</v>
      </c>
      <c r="H10" s="99">
        <f>G10/2407</f>
        <v>2.4927295388450354E-3</v>
      </c>
      <c r="I10" s="68">
        <f t="shared" si="2"/>
        <v>2</v>
      </c>
      <c r="J10" s="99">
        <v>23</v>
      </c>
      <c r="K10" s="68">
        <f t="shared" si="3"/>
        <v>2</v>
      </c>
      <c r="L10" s="70">
        <f t="shared" si="4"/>
        <v>160</v>
      </c>
      <c r="M10" s="89">
        <f t="shared" si="5"/>
        <v>2</v>
      </c>
      <c r="N10" s="105">
        <v>2</v>
      </c>
      <c r="O10" s="88">
        <f t="shared" si="6"/>
        <v>4</v>
      </c>
      <c r="P10" s="89">
        <f t="shared" si="7"/>
        <v>2</v>
      </c>
      <c r="Q10" s="48">
        <v>1.4</v>
      </c>
      <c r="R10" s="47">
        <f t="shared" si="10"/>
        <v>1</v>
      </c>
      <c r="S10" s="88">
        <f t="shared" si="11"/>
        <v>1</v>
      </c>
      <c r="T10" s="95">
        <f t="shared" si="12"/>
        <v>3</v>
      </c>
      <c r="U10" s="53">
        <v>2</v>
      </c>
      <c r="V10" s="53">
        <v>6</v>
      </c>
      <c r="W10" s="53">
        <f t="shared" si="8"/>
        <v>12</v>
      </c>
      <c r="X10" s="138">
        <f t="shared" si="9"/>
        <v>3</v>
      </c>
    </row>
    <row r="11" spans="1:24" ht="15" x14ac:dyDescent="0.2">
      <c r="A11" s="6">
        <v>10</v>
      </c>
      <c r="B11" s="59" t="s">
        <v>21</v>
      </c>
      <c r="C11" s="99">
        <v>236.6</v>
      </c>
      <c r="D11" s="68">
        <f t="shared" si="0"/>
        <v>1</v>
      </c>
      <c r="E11" s="99">
        <v>42.7</v>
      </c>
      <c r="F11" s="68">
        <f t="shared" si="1"/>
        <v>2</v>
      </c>
      <c r="G11" s="103">
        <f>(6+8+6)/3</f>
        <v>6.666666666666667</v>
      </c>
      <c r="H11" s="99">
        <f>G11/4486</f>
        <v>1.486104919007282E-3</v>
      </c>
      <c r="I11" s="68">
        <f t="shared" si="2"/>
        <v>2</v>
      </c>
      <c r="J11" s="99">
        <v>12.9</v>
      </c>
      <c r="K11" s="68">
        <f t="shared" si="3"/>
        <v>1</v>
      </c>
      <c r="L11" s="70">
        <f t="shared" si="4"/>
        <v>140</v>
      </c>
      <c r="M11" s="89">
        <f t="shared" si="5"/>
        <v>1</v>
      </c>
      <c r="N11" s="105">
        <v>3</v>
      </c>
      <c r="O11" s="88">
        <f t="shared" si="6"/>
        <v>3</v>
      </c>
      <c r="P11" s="89">
        <f t="shared" si="7"/>
        <v>2</v>
      </c>
      <c r="Q11" s="48">
        <v>2.2000000000000002</v>
      </c>
      <c r="R11" s="47">
        <f t="shared" si="10"/>
        <v>2</v>
      </c>
      <c r="S11" s="88">
        <f t="shared" si="11"/>
        <v>0</v>
      </c>
      <c r="T11" s="95">
        <f t="shared" si="12"/>
        <v>2</v>
      </c>
      <c r="U11" s="53">
        <v>2</v>
      </c>
      <c r="V11" s="53">
        <v>6</v>
      </c>
      <c r="W11" s="53">
        <f t="shared" si="8"/>
        <v>12</v>
      </c>
      <c r="X11" s="138">
        <f t="shared" si="9"/>
        <v>3</v>
      </c>
    </row>
    <row r="12" spans="1:24" ht="15" x14ac:dyDescent="0.2">
      <c r="A12" s="6">
        <v>11</v>
      </c>
      <c r="B12" s="59" t="s">
        <v>22</v>
      </c>
      <c r="C12" s="99">
        <v>180</v>
      </c>
      <c r="D12" s="68">
        <f t="shared" si="0"/>
        <v>1</v>
      </c>
      <c r="E12" s="99">
        <v>15.83</v>
      </c>
      <c r="F12" s="68">
        <f t="shared" si="1"/>
        <v>1</v>
      </c>
      <c r="G12" s="103">
        <f>(7+4)/2</f>
        <v>5.5</v>
      </c>
      <c r="H12" s="99">
        <f>G12/2234</f>
        <v>2.4619516562220233E-3</v>
      </c>
      <c r="I12" s="68">
        <f t="shared" si="2"/>
        <v>2</v>
      </c>
      <c r="J12" s="99">
        <v>18.5</v>
      </c>
      <c r="K12" s="68">
        <f t="shared" si="3"/>
        <v>2</v>
      </c>
      <c r="L12" s="70">
        <f t="shared" si="4"/>
        <v>160</v>
      </c>
      <c r="M12" s="89">
        <f t="shared" si="5"/>
        <v>2</v>
      </c>
      <c r="N12" s="105">
        <v>3</v>
      </c>
      <c r="O12" s="88">
        <f t="shared" si="6"/>
        <v>6</v>
      </c>
      <c r="P12" s="89">
        <f t="shared" si="7"/>
        <v>3</v>
      </c>
      <c r="Q12" s="48">
        <v>2.6</v>
      </c>
      <c r="R12" s="47">
        <f t="shared" si="10"/>
        <v>3</v>
      </c>
      <c r="S12" s="88">
        <f t="shared" si="11"/>
        <v>0</v>
      </c>
      <c r="T12" s="94">
        <f t="shared" si="12"/>
        <v>2</v>
      </c>
      <c r="U12" s="53">
        <v>2</v>
      </c>
      <c r="V12" s="53">
        <v>6</v>
      </c>
      <c r="W12" s="53">
        <f t="shared" si="8"/>
        <v>12</v>
      </c>
      <c r="X12" s="138">
        <f t="shared" si="9"/>
        <v>3</v>
      </c>
    </row>
    <row r="13" spans="1:24" ht="15" x14ac:dyDescent="0.2">
      <c r="A13" s="6">
        <v>12</v>
      </c>
      <c r="B13" s="59" t="s">
        <v>42</v>
      </c>
      <c r="C13" s="99">
        <v>422.86</v>
      </c>
      <c r="D13" s="68">
        <f t="shared" si="0"/>
        <v>2</v>
      </c>
      <c r="E13" s="99">
        <v>34.96</v>
      </c>
      <c r="F13" s="68">
        <f t="shared" si="1"/>
        <v>2</v>
      </c>
      <c r="G13" s="103">
        <f>(82+93+47)/3</f>
        <v>74</v>
      </c>
      <c r="H13" s="99">
        <f>G13/7006</f>
        <v>1.0562375107051099E-2</v>
      </c>
      <c r="I13" s="68">
        <f t="shared" si="2"/>
        <v>4</v>
      </c>
      <c r="J13" s="99">
        <v>28.9</v>
      </c>
      <c r="K13" s="68">
        <f t="shared" si="3"/>
        <v>2</v>
      </c>
      <c r="L13" s="70">
        <f t="shared" si="4"/>
        <v>240</v>
      </c>
      <c r="M13" s="89">
        <f t="shared" si="5"/>
        <v>3</v>
      </c>
      <c r="N13" s="105">
        <v>2</v>
      </c>
      <c r="O13" s="88">
        <f t="shared" si="6"/>
        <v>6</v>
      </c>
      <c r="P13" s="89">
        <f t="shared" si="7"/>
        <v>3</v>
      </c>
      <c r="Q13" s="48">
        <v>1.4</v>
      </c>
      <c r="R13" s="47">
        <f t="shared" si="10"/>
        <v>1</v>
      </c>
      <c r="S13" s="88">
        <f t="shared" si="11"/>
        <v>2</v>
      </c>
      <c r="T13" s="94">
        <f t="shared" si="12"/>
        <v>4</v>
      </c>
      <c r="U13" s="53">
        <v>2</v>
      </c>
      <c r="V13" s="53">
        <v>6</v>
      </c>
      <c r="W13" s="53">
        <f t="shared" si="8"/>
        <v>12</v>
      </c>
      <c r="X13" s="138">
        <f t="shared" si="9"/>
        <v>3</v>
      </c>
    </row>
    <row r="14" spans="1:24" ht="15" x14ac:dyDescent="0.2">
      <c r="A14" s="6">
        <v>13</v>
      </c>
      <c r="B14" s="59" t="s">
        <v>23</v>
      </c>
      <c r="C14" s="99">
        <v>474.23</v>
      </c>
      <c r="D14" s="68">
        <f t="shared" si="0"/>
        <v>2</v>
      </c>
      <c r="E14" s="99">
        <v>109.36</v>
      </c>
      <c r="F14" s="68">
        <f t="shared" si="1"/>
        <v>4</v>
      </c>
      <c r="G14" s="103">
        <f>(8+7+24)/3</f>
        <v>13</v>
      </c>
      <c r="H14" s="99">
        <f>G14/5748</f>
        <v>2.2616562282533055E-3</v>
      </c>
      <c r="I14" s="68">
        <f t="shared" si="2"/>
        <v>2</v>
      </c>
      <c r="J14" s="99">
        <v>52.4</v>
      </c>
      <c r="K14" s="68">
        <f t="shared" si="3"/>
        <v>4</v>
      </c>
      <c r="L14" s="70">
        <f t="shared" si="4"/>
        <v>320</v>
      </c>
      <c r="M14" s="89">
        <f t="shared" si="5"/>
        <v>4</v>
      </c>
      <c r="N14" s="105">
        <v>1</v>
      </c>
      <c r="O14" s="88">
        <f t="shared" si="6"/>
        <v>4</v>
      </c>
      <c r="P14" s="89">
        <f t="shared" si="7"/>
        <v>2</v>
      </c>
      <c r="Q14" s="48">
        <v>1.8</v>
      </c>
      <c r="R14" s="47">
        <f t="shared" si="10"/>
        <v>2</v>
      </c>
      <c r="S14" s="88">
        <f t="shared" si="11"/>
        <v>0</v>
      </c>
      <c r="T14" s="94">
        <f t="shared" si="12"/>
        <v>2</v>
      </c>
      <c r="U14" s="53">
        <v>2</v>
      </c>
      <c r="V14" s="53">
        <v>6</v>
      </c>
      <c r="W14" s="53">
        <f t="shared" si="8"/>
        <v>12</v>
      </c>
      <c r="X14" s="138">
        <f t="shared" si="9"/>
        <v>3</v>
      </c>
    </row>
    <row r="15" spans="1:24" ht="15" x14ac:dyDescent="0.2">
      <c r="A15" s="6">
        <v>14</v>
      </c>
      <c r="B15" s="59" t="s">
        <v>24</v>
      </c>
      <c r="C15" s="99">
        <v>363</v>
      </c>
      <c r="D15" s="68">
        <f t="shared" si="0"/>
        <v>1</v>
      </c>
      <c r="E15" s="99">
        <v>19</v>
      </c>
      <c r="F15" s="68">
        <f t="shared" si="1"/>
        <v>1</v>
      </c>
      <c r="G15" s="103">
        <f>(27+25+33)/3</f>
        <v>28.333333333333332</v>
      </c>
      <c r="H15" s="99">
        <f>G15/6581</f>
        <v>4.305323405764068E-3</v>
      </c>
      <c r="I15" s="68">
        <f t="shared" si="2"/>
        <v>3</v>
      </c>
      <c r="J15" s="99">
        <v>60</v>
      </c>
      <c r="K15" s="68">
        <f t="shared" si="3"/>
        <v>4</v>
      </c>
      <c r="L15" s="70">
        <f t="shared" si="4"/>
        <v>260</v>
      </c>
      <c r="M15" s="89">
        <f t="shared" si="5"/>
        <v>3</v>
      </c>
      <c r="N15" s="105">
        <v>2</v>
      </c>
      <c r="O15" s="88">
        <f t="shared" si="6"/>
        <v>6</v>
      </c>
      <c r="P15" s="89">
        <f t="shared" si="7"/>
        <v>3</v>
      </c>
      <c r="Q15" s="48">
        <v>1.6</v>
      </c>
      <c r="R15" s="47">
        <f t="shared" si="10"/>
        <v>2</v>
      </c>
      <c r="S15" s="88">
        <f t="shared" si="11"/>
        <v>1</v>
      </c>
      <c r="T15" s="94">
        <f t="shared" si="12"/>
        <v>3</v>
      </c>
      <c r="U15" s="53">
        <v>2</v>
      </c>
      <c r="V15" s="53">
        <v>6</v>
      </c>
      <c r="W15" s="53">
        <f t="shared" si="8"/>
        <v>12</v>
      </c>
      <c r="X15" s="138">
        <f t="shared" si="9"/>
        <v>3</v>
      </c>
    </row>
    <row r="16" spans="1:24" ht="15" x14ac:dyDescent="0.2">
      <c r="A16" s="6">
        <v>15</v>
      </c>
      <c r="B16" s="59" t="s">
        <v>25</v>
      </c>
      <c r="C16" s="99">
        <v>243.36</v>
      </c>
      <c r="D16" s="68">
        <f t="shared" si="0"/>
        <v>1</v>
      </c>
      <c r="E16" s="99">
        <v>28.96</v>
      </c>
      <c r="F16" s="68">
        <f t="shared" si="1"/>
        <v>1</v>
      </c>
      <c r="G16" s="103">
        <f>(4+9+5)/3</f>
        <v>6</v>
      </c>
      <c r="H16" s="99">
        <f>G16/5920</f>
        <v>1.0135135135135136E-3</v>
      </c>
      <c r="I16" s="68">
        <f t="shared" si="2"/>
        <v>2</v>
      </c>
      <c r="J16" s="99">
        <v>22.9</v>
      </c>
      <c r="K16" s="68">
        <f t="shared" si="3"/>
        <v>2</v>
      </c>
      <c r="L16" s="70">
        <f t="shared" si="4"/>
        <v>160</v>
      </c>
      <c r="M16" s="89">
        <f t="shared" si="5"/>
        <v>2</v>
      </c>
      <c r="N16" s="105">
        <v>2</v>
      </c>
      <c r="O16" s="88">
        <f t="shared" si="6"/>
        <v>4</v>
      </c>
      <c r="P16" s="89">
        <f t="shared" si="7"/>
        <v>2</v>
      </c>
      <c r="Q16" s="49">
        <v>1.6</v>
      </c>
      <c r="R16" s="47">
        <f t="shared" si="10"/>
        <v>2</v>
      </c>
      <c r="S16" s="88">
        <f t="shared" si="11"/>
        <v>0</v>
      </c>
      <c r="T16" s="95">
        <f t="shared" si="12"/>
        <v>2</v>
      </c>
      <c r="U16" s="53">
        <v>2</v>
      </c>
      <c r="V16" s="53">
        <v>6</v>
      </c>
      <c r="W16" s="53">
        <f t="shared" si="8"/>
        <v>12</v>
      </c>
      <c r="X16" s="138">
        <f t="shared" si="9"/>
        <v>3</v>
      </c>
    </row>
    <row r="17" spans="1:24" ht="15" x14ac:dyDescent="0.2">
      <c r="A17" s="6">
        <v>16</v>
      </c>
      <c r="B17" s="59" t="s">
        <v>26</v>
      </c>
      <c r="C17" s="99">
        <v>493.56</v>
      </c>
      <c r="D17" s="68">
        <f t="shared" si="0"/>
        <v>2</v>
      </c>
      <c r="E17" s="99">
        <v>51.83</v>
      </c>
      <c r="F17" s="68">
        <f t="shared" si="1"/>
        <v>2</v>
      </c>
      <c r="G17" s="103">
        <f>(14+9+8)/3</f>
        <v>10.333333333333334</v>
      </c>
      <c r="H17" s="99">
        <f>G17/4609</f>
        <v>2.2419903088160848E-3</v>
      </c>
      <c r="I17" s="68">
        <f t="shared" si="2"/>
        <v>2</v>
      </c>
      <c r="J17" s="99">
        <v>22.4</v>
      </c>
      <c r="K17" s="68">
        <f t="shared" si="3"/>
        <v>2</v>
      </c>
      <c r="L17" s="70">
        <f t="shared" si="4"/>
        <v>200</v>
      </c>
      <c r="M17" s="89">
        <f t="shared" si="5"/>
        <v>2</v>
      </c>
      <c r="N17" s="105">
        <v>1</v>
      </c>
      <c r="O17" s="88">
        <f t="shared" si="6"/>
        <v>2</v>
      </c>
      <c r="P17" s="89">
        <f t="shared" si="7"/>
        <v>1</v>
      </c>
      <c r="Q17" s="48">
        <v>1.4</v>
      </c>
      <c r="R17" s="47">
        <f t="shared" si="10"/>
        <v>1</v>
      </c>
      <c r="S17" s="88">
        <f t="shared" si="11"/>
        <v>0</v>
      </c>
      <c r="T17" s="95">
        <f t="shared" si="12"/>
        <v>2</v>
      </c>
      <c r="U17" s="53">
        <v>2</v>
      </c>
      <c r="V17" s="53">
        <v>6</v>
      </c>
      <c r="W17" s="53">
        <f t="shared" si="8"/>
        <v>12</v>
      </c>
      <c r="X17" s="138">
        <f t="shared" si="9"/>
        <v>3</v>
      </c>
    </row>
    <row r="18" spans="1:24" ht="15" x14ac:dyDescent="0.2">
      <c r="A18" s="6">
        <v>17</v>
      </c>
      <c r="B18" s="59" t="s">
        <v>27</v>
      </c>
      <c r="C18" s="99">
        <v>234.83</v>
      </c>
      <c r="D18" s="68">
        <f t="shared" si="0"/>
        <v>1</v>
      </c>
      <c r="E18" s="99">
        <v>15.4</v>
      </c>
      <c r="F18" s="68">
        <f t="shared" si="1"/>
        <v>1</v>
      </c>
      <c r="G18" s="103">
        <f>(30+8+18)/3</f>
        <v>18.666666666666668</v>
      </c>
      <c r="H18" s="99">
        <f>G18/5548</f>
        <v>3.3645758231194427E-3</v>
      </c>
      <c r="I18" s="68">
        <f t="shared" si="2"/>
        <v>3</v>
      </c>
      <c r="J18" s="99">
        <v>29.6</v>
      </c>
      <c r="K18" s="68">
        <f t="shared" si="3"/>
        <v>2</v>
      </c>
      <c r="L18" s="70">
        <f t="shared" si="4"/>
        <v>180</v>
      </c>
      <c r="M18" s="89">
        <f t="shared" si="5"/>
        <v>2</v>
      </c>
      <c r="N18" s="105">
        <v>2</v>
      </c>
      <c r="O18" s="88">
        <f t="shared" si="6"/>
        <v>4</v>
      </c>
      <c r="P18" s="89">
        <f t="shared" si="7"/>
        <v>2</v>
      </c>
      <c r="Q18" s="48">
        <v>2.2000000000000002</v>
      </c>
      <c r="R18" s="47">
        <f t="shared" si="10"/>
        <v>2</v>
      </c>
      <c r="S18" s="88">
        <f t="shared" si="11"/>
        <v>0</v>
      </c>
      <c r="T18" s="95">
        <f t="shared" si="12"/>
        <v>2</v>
      </c>
      <c r="U18" s="53">
        <v>2</v>
      </c>
      <c r="V18" s="53">
        <v>6</v>
      </c>
      <c r="W18" s="53">
        <f t="shared" si="8"/>
        <v>12</v>
      </c>
      <c r="X18" s="138">
        <f t="shared" si="9"/>
        <v>3</v>
      </c>
    </row>
    <row r="19" spans="1:24" ht="15" x14ac:dyDescent="0.2">
      <c r="A19" s="6">
        <v>18</v>
      </c>
      <c r="B19" s="59" t="s">
        <v>28</v>
      </c>
      <c r="C19" s="99">
        <v>1111.3</v>
      </c>
      <c r="D19" s="68">
        <f t="shared" si="0"/>
        <v>3</v>
      </c>
      <c r="E19" s="99">
        <v>91.56</v>
      </c>
      <c r="F19" s="68">
        <f t="shared" si="1"/>
        <v>3</v>
      </c>
      <c r="G19" s="103">
        <f>(8+8+11)/3</f>
        <v>9</v>
      </c>
      <c r="H19" s="99">
        <f>G19/9176</f>
        <v>9.8081952920662597E-4</v>
      </c>
      <c r="I19" s="68">
        <f t="shared" si="2"/>
        <v>1</v>
      </c>
      <c r="J19" s="99">
        <v>38.799999999999997</v>
      </c>
      <c r="K19" s="68">
        <f t="shared" si="3"/>
        <v>3</v>
      </c>
      <c r="L19" s="70">
        <f t="shared" si="4"/>
        <v>260</v>
      </c>
      <c r="M19" s="89">
        <f t="shared" si="5"/>
        <v>3</v>
      </c>
      <c r="N19" s="105">
        <v>2</v>
      </c>
      <c r="O19" s="88">
        <f t="shared" si="6"/>
        <v>6</v>
      </c>
      <c r="P19" s="89">
        <f t="shared" si="7"/>
        <v>3</v>
      </c>
      <c r="Q19" s="48">
        <v>1.2</v>
      </c>
      <c r="R19" s="47">
        <f t="shared" si="10"/>
        <v>1</v>
      </c>
      <c r="S19" s="88">
        <f t="shared" si="11"/>
        <v>2</v>
      </c>
      <c r="T19" s="96">
        <f t="shared" si="12"/>
        <v>4</v>
      </c>
      <c r="U19" s="53">
        <v>2</v>
      </c>
      <c r="V19" s="53">
        <v>6</v>
      </c>
      <c r="W19" s="53">
        <f t="shared" si="8"/>
        <v>12</v>
      </c>
      <c r="X19" s="138">
        <f t="shared" si="9"/>
        <v>3</v>
      </c>
    </row>
    <row r="20" spans="1:24" ht="15" x14ac:dyDescent="0.2">
      <c r="A20" s="6">
        <v>19</v>
      </c>
      <c r="B20" s="59" t="s">
        <v>29</v>
      </c>
      <c r="C20" s="99">
        <v>283.89999999999998</v>
      </c>
      <c r="D20" s="68">
        <f t="shared" si="0"/>
        <v>1</v>
      </c>
      <c r="E20" s="99">
        <v>39.630000000000003</v>
      </c>
      <c r="F20" s="68">
        <f t="shared" si="1"/>
        <v>2</v>
      </c>
      <c r="G20" s="103">
        <f>(34+34+21)/3</f>
        <v>29.666666666666668</v>
      </c>
      <c r="H20" s="99">
        <f>G20/4915</f>
        <v>6.0359443879281112E-3</v>
      </c>
      <c r="I20" s="68">
        <f t="shared" si="2"/>
        <v>3</v>
      </c>
      <c r="J20" s="99">
        <v>1.5</v>
      </c>
      <c r="K20" s="68">
        <f t="shared" si="3"/>
        <v>1</v>
      </c>
      <c r="L20" s="70">
        <f t="shared" si="4"/>
        <v>160</v>
      </c>
      <c r="M20" s="89">
        <f t="shared" si="5"/>
        <v>2</v>
      </c>
      <c r="N20" s="105">
        <v>3</v>
      </c>
      <c r="O20" s="88">
        <f t="shared" si="6"/>
        <v>6</v>
      </c>
      <c r="P20" s="89">
        <f t="shared" si="7"/>
        <v>3</v>
      </c>
      <c r="Q20" s="48">
        <v>1.8</v>
      </c>
      <c r="R20" s="47">
        <f t="shared" si="10"/>
        <v>2</v>
      </c>
      <c r="S20" s="88">
        <f t="shared" si="11"/>
        <v>1</v>
      </c>
      <c r="T20" s="95">
        <f t="shared" si="12"/>
        <v>3</v>
      </c>
      <c r="U20" s="53">
        <v>2</v>
      </c>
      <c r="V20" s="53">
        <v>6</v>
      </c>
      <c r="W20" s="53">
        <f t="shared" si="8"/>
        <v>12</v>
      </c>
      <c r="X20" s="138">
        <f t="shared" si="9"/>
        <v>3</v>
      </c>
    </row>
    <row r="21" spans="1:24" ht="15" x14ac:dyDescent="0.2">
      <c r="A21" s="6">
        <v>20</v>
      </c>
      <c r="B21" s="59" t="s">
        <v>30</v>
      </c>
      <c r="C21" s="99">
        <v>185.93</v>
      </c>
      <c r="D21" s="68">
        <f t="shared" si="0"/>
        <v>1</v>
      </c>
      <c r="E21" s="99">
        <v>21.73</v>
      </c>
      <c r="F21" s="68">
        <f t="shared" si="1"/>
        <v>1</v>
      </c>
      <c r="G21" s="103">
        <f>(13+13+10)/3</f>
        <v>12</v>
      </c>
      <c r="H21" s="99">
        <f>G21/3084</f>
        <v>3.8910505836575876E-3</v>
      </c>
      <c r="I21" s="68">
        <f t="shared" si="2"/>
        <v>3</v>
      </c>
      <c r="J21" s="99">
        <v>53.4</v>
      </c>
      <c r="K21" s="68">
        <f t="shared" si="3"/>
        <v>4</v>
      </c>
      <c r="L21" s="70">
        <f t="shared" si="4"/>
        <v>260</v>
      </c>
      <c r="M21" s="89">
        <f t="shared" si="5"/>
        <v>3</v>
      </c>
      <c r="N21" s="105">
        <v>2</v>
      </c>
      <c r="O21" s="88">
        <f t="shared" si="6"/>
        <v>6</v>
      </c>
      <c r="P21" s="89">
        <f t="shared" si="7"/>
        <v>3</v>
      </c>
      <c r="Q21" s="48">
        <v>2</v>
      </c>
      <c r="R21" s="47">
        <f t="shared" si="10"/>
        <v>2</v>
      </c>
      <c r="S21" s="88">
        <f t="shared" si="11"/>
        <v>1</v>
      </c>
      <c r="T21" s="94">
        <f t="shared" si="12"/>
        <v>3</v>
      </c>
      <c r="U21" s="53">
        <v>2</v>
      </c>
      <c r="V21" s="53">
        <v>6</v>
      </c>
      <c r="W21" s="53">
        <f t="shared" si="8"/>
        <v>12</v>
      </c>
      <c r="X21" s="138">
        <f t="shared" si="9"/>
        <v>3</v>
      </c>
    </row>
    <row r="22" spans="1:24" ht="15" x14ac:dyDescent="0.2">
      <c r="A22" s="6">
        <v>21</v>
      </c>
      <c r="B22" s="59" t="s">
        <v>31</v>
      </c>
      <c r="C22" s="99">
        <v>385.9</v>
      </c>
      <c r="D22" s="68">
        <f t="shared" si="0"/>
        <v>1</v>
      </c>
      <c r="E22" s="99">
        <v>7.7</v>
      </c>
      <c r="F22" s="68">
        <f t="shared" si="1"/>
        <v>1</v>
      </c>
      <c r="G22" s="103">
        <f>(1+3+4)/3</f>
        <v>2.6666666666666665</v>
      </c>
      <c r="H22" s="99">
        <f>G22/1797</f>
        <v>1.4839547393804488E-3</v>
      </c>
      <c r="I22" s="68">
        <f t="shared" si="2"/>
        <v>2</v>
      </c>
      <c r="J22" s="99">
        <v>6.7</v>
      </c>
      <c r="K22" s="68">
        <f t="shared" si="3"/>
        <v>1</v>
      </c>
      <c r="L22" s="70">
        <f t="shared" si="4"/>
        <v>120</v>
      </c>
      <c r="M22" s="89">
        <f t="shared" si="5"/>
        <v>1</v>
      </c>
      <c r="N22" s="105">
        <v>1</v>
      </c>
      <c r="O22" s="88">
        <f t="shared" si="6"/>
        <v>1</v>
      </c>
      <c r="P22" s="89">
        <f t="shared" si="7"/>
        <v>1</v>
      </c>
      <c r="Q22" s="48">
        <v>2</v>
      </c>
      <c r="R22" s="47">
        <f t="shared" si="10"/>
        <v>2</v>
      </c>
      <c r="S22" s="88">
        <f t="shared" si="11"/>
        <v>-1</v>
      </c>
      <c r="T22" s="95">
        <f t="shared" si="12"/>
        <v>2</v>
      </c>
      <c r="U22" s="53">
        <v>2</v>
      </c>
      <c r="V22" s="53">
        <v>6</v>
      </c>
      <c r="W22" s="53">
        <f t="shared" si="8"/>
        <v>12</v>
      </c>
      <c r="X22" s="138">
        <f t="shared" si="9"/>
        <v>3</v>
      </c>
    </row>
    <row r="23" spans="1:24" ht="15" x14ac:dyDescent="0.2">
      <c r="A23" s="6">
        <v>22</v>
      </c>
      <c r="B23" s="59" t="s">
        <v>32</v>
      </c>
      <c r="C23" s="99">
        <v>5088.16</v>
      </c>
      <c r="D23" s="68">
        <f t="shared" si="0"/>
        <v>4</v>
      </c>
      <c r="E23" s="99">
        <v>44.1</v>
      </c>
      <c r="F23" s="68">
        <f t="shared" si="1"/>
        <v>2</v>
      </c>
      <c r="G23" s="103">
        <f>(319+304+330)/3</f>
        <v>317.66666666666669</v>
      </c>
      <c r="H23" s="99">
        <f>G23/76672</f>
        <v>4.1431900389538121E-3</v>
      </c>
      <c r="I23" s="68">
        <f t="shared" si="2"/>
        <v>3</v>
      </c>
      <c r="J23" s="99">
        <v>23.9</v>
      </c>
      <c r="K23" s="68">
        <f t="shared" si="3"/>
        <v>2</v>
      </c>
      <c r="L23" s="70">
        <f t="shared" si="4"/>
        <v>260</v>
      </c>
      <c r="M23" s="89">
        <f t="shared" si="5"/>
        <v>3</v>
      </c>
      <c r="N23" s="105">
        <v>2</v>
      </c>
      <c r="O23" s="88">
        <f t="shared" si="6"/>
        <v>6</v>
      </c>
      <c r="P23" s="89">
        <f t="shared" si="7"/>
        <v>3</v>
      </c>
      <c r="Q23" s="48">
        <v>2.6</v>
      </c>
      <c r="R23" s="47">
        <f t="shared" si="10"/>
        <v>3</v>
      </c>
      <c r="S23" s="88">
        <f t="shared" si="11"/>
        <v>0</v>
      </c>
      <c r="T23" s="95">
        <f t="shared" si="12"/>
        <v>2</v>
      </c>
      <c r="U23" s="53">
        <v>2</v>
      </c>
      <c r="V23" s="53">
        <v>6</v>
      </c>
      <c r="W23" s="53">
        <f t="shared" si="8"/>
        <v>12</v>
      </c>
      <c r="X23" s="138">
        <f t="shared" si="9"/>
        <v>3</v>
      </c>
    </row>
    <row r="24" spans="1:24" ht="15" x14ac:dyDescent="0.2">
      <c r="A24" s="6">
        <v>23</v>
      </c>
      <c r="B24" s="59" t="s">
        <v>33</v>
      </c>
      <c r="C24" s="99">
        <v>1104.8599999999999</v>
      </c>
      <c r="D24" s="68">
        <f t="shared" si="0"/>
        <v>3</v>
      </c>
      <c r="E24" s="99">
        <v>106.16670000000001</v>
      </c>
      <c r="F24" s="68">
        <f t="shared" si="1"/>
        <v>4</v>
      </c>
      <c r="G24" s="103">
        <f>(15+14+20)/3</f>
        <v>16.333333333333332</v>
      </c>
      <c r="H24" s="99">
        <f>G24/7164</f>
        <v>2.2799181090638375E-3</v>
      </c>
      <c r="I24" s="68">
        <f t="shared" si="2"/>
        <v>2</v>
      </c>
      <c r="J24" s="99">
        <v>5.9</v>
      </c>
      <c r="K24" s="68">
        <f t="shared" si="3"/>
        <v>1</v>
      </c>
      <c r="L24" s="70">
        <f t="shared" si="4"/>
        <v>220</v>
      </c>
      <c r="M24" s="89">
        <f t="shared" si="5"/>
        <v>2</v>
      </c>
      <c r="N24" s="105">
        <v>2</v>
      </c>
      <c r="O24" s="88">
        <f t="shared" si="6"/>
        <v>4</v>
      </c>
      <c r="P24" s="89">
        <f t="shared" si="7"/>
        <v>2</v>
      </c>
      <c r="Q24" s="48">
        <v>1.4</v>
      </c>
      <c r="R24" s="47">
        <f t="shared" si="10"/>
        <v>1</v>
      </c>
      <c r="S24" s="88">
        <f t="shared" si="11"/>
        <v>1</v>
      </c>
      <c r="T24" s="95">
        <f t="shared" si="12"/>
        <v>3</v>
      </c>
      <c r="U24" s="53">
        <v>2</v>
      </c>
      <c r="V24" s="53">
        <v>6</v>
      </c>
      <c r="W24" s="53">
        <f t="shared" si="8"/>
        <v>12</v>
      </c>
      <c r="X24" s="138">
        <f t="shared" si="9"/>
        <v>3</v>
      </c>
    </row>
    <row r="25" spans="1:24" ht="15" x14ac:dyDescent="0.2">
      <c r="A25" s="6">
        <v>24</v>
      </c>
      <c r="B25" s="59" t="s">
        <v>34</v>
      </c>
      <c r="C25" s="99">
        <v>103.23</v>
      </c>
      <c r="D25" s="68">
        <f t="shared" si="0"/>
        <v>1</v>
      </c>
      <c r="E25" s="99">
        <v>16.559999999999999</v>
      </c>
      <c r="F25" s="68">
        <f t="shared" si="1"/>
        <v>1</v>
      </c>
      <c r="G25" s="103">
        <f>(20+10+5)/3</f>
        <v>11.666666666666666</v>
      </c>
      <c r="H25" s="99">
        <f>G25/2306</f>
        <v>5.0592656837236197E-3</v>
      </c>
      <c r="I25" s="68">
        <f t="shared" si="2"/>
        <v>3</v>
      </c>
      <c r="J25" s="99">
        <v>19.8</v>
      </c>
      <c r="K25" s="68">
        <f t="shared" si="3"/>
        <v>2</v>
      </c>
      <c r="L25" s="70">
        <f t="shared" si="4"/>
        <v>180</v>
      </c>
      <c r="M25" s="89">
        <f t="shared" si="5"/>
        <v>2</v>
      </c>
      <c r="N25" s="105">
        <v>2</v>
      </c>
      <c r="O25" s="88">
        <f t="shared" si="6"/>
        <v>4</v>
      </c>
      <c r="P25" s="89">
        <f t="shared" si="7"/>
        <v>2</v>
      </c>
      <c r="Q25" s="48">
        <v>2.8</v>
      </c>
      <c r="R25" s="47">
        <f t="shared" si="10"/>
        <v>3</v>
      </c>
      <c r="S25" s="88">
        <f t="shared" si="11"/>
        <v>-1</v>
      </c>
      <c r="T25" s="95">
        <f t="shared" si="12"/>
        <v>2</v>
      </c>
      <c r="U25" s="53">
        <v>2</v>
      </c>
      <c r="V25" s="53">
        <v>6</v>
      </c>
      <c r="W25" s="53">
        <f t="shared" si="8"/>
        <v>12</v>
      </c>
      <c r="X25" s="138">
        <f t="shared" si="9"/>
        <v>3</v>
      </c>
    </row>
    <row r="26" spans="1:24" ht="15" x14ac:dyDescent="0.2">
      <c r="A26" s="6">
        <v>25</v>
      </c>
      <c r="B26" s="59" t="s">
        <v>35</v>
      </c>
      <c r="C26" s="99">
        <v>844.86</v>
      </c>
      <c r="D26" s="68">
        <f t="shared" si="0"/>
        <v>2</v>
      </c>
      <c r="E26" s="99">
        <v>28.63</v>
      </c>
      <c r="F26" s="68">
        <f t="shared" si="1"/>
        <v>1</v>
      </c>
      <c r="G26" s="103">
        <f>(24+3+16)/3</f>
        <v>14.333333333333334</v>
      </c>
      <c r="H26" s="99">
        <f>G26/10725</f>
        <v>1.3364413364413364E-3</v>
      </c>
      <c r="I26" s="68">
        <f t="shared" si="2"/>
        <v>2</v>
      </c>
      <c r="J26" s="99">
        <v>55.2</v>
      </c>
      <c r="K26" s="68">
        <f t="shared" si="3"/>
        <v>4</v>
      </c>
      <c r="L26" s="70">
        <f t="shared" si="4"/>
        <v>260</v>
      </c>
      <c r="M26" s="89">
        <f t="shared" si="5"/>
        <v>3</v>
      </c>
      <c r="N26" s="105">
        <v>2</v>
      </c>
      <c r="O26" s="88">
        <f t="shared" si="6"/>
        <v>6</v>
      </c>
      <c r="P26" s="89">
        <f t="shared" si="7"/>
        <v>3</v>
      </c>
      <c r="Q26" s="48">
        <v>2</v>
      </c>
      <c r="R26" s="47">
        <f t="shared" si="10"/>
        <v>2</v>
      </c>
      <c r="S26" s="88">
        <f t="shared" si="11"/>
        <v>1</v>
      </c>
      <c r="T26" s="94">
        <f t="shared" si="12"/>
        <v>3</v>
      </c>
      <c r="U26" s="53">
        <v>2</v>
      </c>
      <c r="V26" s="53">
        <v>6</v>
      </c>
      <c r="W26" s="53">
        <f t="shared" si="8"/>
        <v>12</v>
      </c>
      <c r="X26" s="138">
        <f t="shared" si="9"/>
        <v>3</v>
      </c>
    </row>
    <row r="27" spans="1:24" ht="15.75" thickBot="1" x14ac:dyDescent="0.25">
      <c r="A27" s="7">
        <v>26</v>
      </c>
      <c r="B27" s="62" t="s">
        <v>36</v>
      </c>
      <c r="C27" s="100">
        <v>3570.4</v>
      </c>
      <c r="D27" s="77">
        <f t="shared" si="0"/>
        <v>3</v>
      </c>
      <c r="E27" s="100">
        <v>28.66</v>
      </c>
      <c r="F27" s="77">
        <f t="shared" si="1"/>
        <v>1</v>
      </c>
      <c r="G27" s="104">
        <f>(17+27+18)/3</f>
        <v>20.666666666666668</v>
      </c>
      <c r="H27" s="100">
        <f>G27/3459</f>
        <v>5.9747518550640841E-3</v>
      </c>
      <c r="I27" s="77">
        <f t="shared" si="2"/>
        <v>3</v>
      </c>
      <c r="J27" s="100">
        <v>0.1</v>
      </c>
      <c r="K27" s="77">
        <f t="shared" si="3"/>
        <v>1</v>
      </c>
      <c r="L27" s="70">
        <f t="shared" si="4"/>
        <v>180</v>
      </c>
      <c r="M27" s="90">
        <f t="shared" si="5"/>
        <v>2</v>
      </c>
      <c r="N27" s="105">
        <v>2</v>
      </c>
      <c r="O27" s="88">
        <f t="shared" si="6"/>
        <v>4</v>
      </c>
      <c r="P27" s="90">
        <f t="shared" si="7"/>
        <v>2</v>
      </c>
      <c r="Q27" s="48">
        <v>1.4</v>
      </c>
      <c r="R27" s="47">
        <f t="shared" si="10"/>
        <v>1</v>
      </c>
      <c r="S27" s="88">
        <f t="shared" si="11"/>
        <v>1</v>
      </c>
      <c r="T27" s="97">
        <f t="shared" si="12"/>
        <v>3</v>
      </c>
      <c r="U27" s="53">
        <v>2</v>
      </c>
      <c r="V27" s="53">
        <v>6</v>
      </c>
      <c r="W27" s="53">
        <f t="shared" si="8"/>
        <v>12</v>
      </c>
      <c r="X27" s="138">
        <f t="shared" si="9"/>
        <v>3</v>
      </c>
    </row>
    <row r="31" spans="1:24" x14ac:dyDescent="0.2">
      <c r="C31" s="107"/>
      <c r="D31" s="141"/>
      <c r="E31" s="107"/>
      <c r="F31" s="141"/>
      <c r="G31" s="108"/>
      <c r="H31" s="107"/>
      <c r="I31" s="109"/>
      <c r="J31" s="107"/>
      <c r="K31" s="141"/>
      <c r="M31" s="140"/>
    </row>
    <row r="32" spans="1:24" x14ac:dyDescent="0.2">
      <c r="C32" s="107"/>
      <c r="D32" s="141"/>
      <c r="E32" s="107"/>
      <c r="F32" s="141"/>
      <c r="G32" s="108"/>
      <c r="H32" s="107"/>
      <c r="I32" s="141"/>
      <c r="J32" s="107"/>
      <c r="K32" s="141"/>
      <c r="M32" s="140"/>
    </row>
    <row r="33" spans="3:13" x14ac:dyDescent="0.2">
      <c r="C33" s="107"/>
      <c r="D33" s="141"/>
      <c r="E33" s="107"/>
      <c r="F33" s="141"/>
      <c r="G33" s="108"/>
      <c r="H33" s="107"/>
      <c r="I33" s="141"/>
      <c r="J33" s="107"/>
      <c r="K33" s="141"/>
      <c r="M33" s="140"/>
    </row>
    <row r="34" spans="3:13" x14ac:dyDescent="0.2">
      <c r="C34" s="107"/>
      <c r="D34" s="141"/>
      <c r="E34" s="107"/>
      <c r="F34" s="141"/>
      <c r="G34" s="108"/>
      <c r="H34" s="107"/>
      <c r="I34" s="141"/>
      <c r="J34" s="107"/>
      <c r="K34" s="141"/>
      <c r="M34" s="140"/>
    </row>
    <row r="35" spans="3:13" x14ac:dyDescent="0.2">
      <c r="C35" s="107"/>
      <c r="D35" s="141"/>
      <c r="E35" s="107"/>
      <c r="F35" s="141"/>
      <c r="G35" s="108"/>
      <c r="H35" s="107"/>
      <c r="I35" s="141"/>
      <c r="J35" s="107"/>
      <c r="K35" s="141"/>
      <c r="M35" s="140"/>
    </row>
    <row r="36" spans="3:13" x14ac:dyDescent="0.2">
      <c r="C36" s="107"/>
      <c r="D36" s="141"/>
      <c r="E36" s="107"/>
      <c r="F36" s="141"/>
      <c r="G36" s="108"/>
      <c r="H36" s="107"/>
      <c r="I36" s="141"/>
      <c r="J36" s="107"/>
      <c r="K36" s="141"/>
      <c r="M36" s="140"/>
    </row>
    <row r="37" spans="3:13" x14ac:dyDescent="0.2">
      <c r="C37" s="107"/>
      <c r="D37" s="141"/>
      <c r="E37" s="107"/>
      <c r="F37" s="141"/>
      <c r="G37" s="108"/>
      <c r="H37" s="107"/>
      <c r="I37" s="141"/>
      <c r="J37" s="107"/>
      <c r="K37" s="141"/>
      <c r="M37" s="140"/>
    </row>
    <row r="38" spans="3:13" x14ac:dyDescent="0.2">
      <c r="C38" s="107"/>
      <c r="D38" s="141"/>
      <c r="E38" s="107"/>
      <c r="F38" s="141"/>
      <c r="G38" s="108"/>
      <c r="H38" s="107"/>
      <c r="I38" s="141"/>
      <c r="J38" s="107"/>
      <c r="K38" s="141"/>
      <c r="M38" s="140"/>
    </row>
    <row r="39" spans="3:13" x14ac:dyDescent="0.2">
      <c r="C39" s="107"/>
      <c r="D39" s="141"/>
      <c r="E39" s="107"/>
      <c r="F39" s="141"/>
      <c r="G39" s="108"/>
      <c r="H39" s="107"/>
      <c r="I39" s="141"/>
      <c r="J39" s="107"/>
      <c r="K39" s="141"/>
      <c r="M39" s="140"/>
    </row>
    <row r="40" spans="3:13" x14ac:dyDescent="0.2">
      <c r="C40" s="107"/>
      <c r="D40" s="141"/>
      <c r="E40" s="107"/>
      <c r="F40" s="141"/>
      <c r="G40" s="108"/>
      <c r="H40" s="107"/>
      <c r="I40" s="141"/>
      <c r="J40" s="107"/>
      <c r="K40" s="141"/>
      <c r="M40" s="140"/>
    </row>
    <row r="41" spans="3:13" x14ac:dyDescent="0.2">
      <c r="C41" s="107"/>
      <c r="D41" s="141"/>
      <c r="E41" s="107"/>
      <c r="F41" s="141"/>
      <c r="G41" s="108"/>
      <c r="H41" s="107"/>
      <c r="I41" s="141"/>
      <c r="J41" s="107"/>
      <c r="K41" s="141"/>
      <c r="M41" s="140"/>
    </row>
    <row r="42" spans="3:13" x14ac:dyDescent="0.2">
      <c r="C42" s="107"/>
      <c r="D42" s="141"/>
      <c r="E42" s="107"/>
      <c r="F42" s="141"/>
      <c r="G42" s="108"/>
      <c r="H42" s="107"/>
      <c r="I42" s="141"/>
      <c r="J42" s="107"/>
      <c r="K42" s="141"/>
      <c r="M42" s="140"/>
    </row>
    <row r="43" spans="3:13" x14ac:dyDescent="0.2">
      <c r="C43" s="107"/>
      <c r="D43" s="141"/>
      <c r="E43" s="107"/>
      <c r="F43" s="141"/>
      <c r="G43" s="108"/>
      <c r="H43" s="107"/>
      <c r="I43" s="141"/>
      <c r="J43" s="107"/>
      <c r="K43" s="141"/>
      <c r="M43" s="140"/>
    </row>
    <row r="44" spans="3:13" x14ac:dyDescent="0.2">
      <c r="C44" s="107"/>
      <c r="D44" s="141"/>
      <c r="E44" s="107"/>
      <c r="F44" s="141"/>
      <c r="G44" s="108"/>
      <c r="H44" s="107"/>
      <c r="I44" s="141"/>
      <c r="J44" s="107"/>
      <c r="K44" s="141"/>
      <c r="M44" s="140"/>
    </row>
    <row r="45" spans="3:13" x14ac:dyDescent="0.2">
      <c r="C45" s="107"/>
      <c r="D45" s="141"/>
      <c r="E45" s="107"/>
      <c r="F45" s="141"/>
      <c r="G45" s="108"/>
      <c r="H45" s="107"/>
      <c r="I45" s="141"/>
      <c r="J45" s="107"/>
      <c r="K45" s="141"/>
      <c r="M45" s="140"/>
    </row>
    <row r="46" spans="3:13" x14ac:dyDescent="0.2">
      <c r="C46" s="107"/>
      <c r="D46" s="141"/>
      <c r="E46" s="107"/>
      <c r="F46" s="141"/>
      <c r="G46" s="108"/>
      <c r="H46" s="107"/>
      <c r="I46" s="141"/>
      <c r="J46" s="107"/>
      <c r="K46" s="141"/>
      <c r="M46" s="140"/>
    </row>
    <row r="47" spans="3:13" x14ac:dyDescent="0.2">
      <c r="C47" s="107"/>
      <c r="D47" s="141"/>
      <c r="E47" s="107"/>
      <c r="F47" s="141"/>
      <c r="G47" s="108"/>
      <c r="H47" s="107"/>
      <c r="I47" s="141"/>
      <c r="J47" s="107"/>
      <c r="K47" s="141"/>
      <c r="M47" s="140"/>
    </row>
    <row r="48" spans="3:13" x14ac:dyDescent="0.2">
      <c r="C48" s="110"/>
      <c r="D48" s="141"/>
      <c r="E48" s="107"/>
      <c r="F48" s="141"/>
      <c r="G48" s="108"/>
      <c r="H48" s="107"/>
      <c r="I48" s="141"/>
      <c r="J48" s="107"/>
      <c r="K48" s="141"/>
      <c r="M48" s="140"/>
    </row>
    <row r="49" spans="3:13" x14ac:dyDescent="0.2">
      <c r="C49" s="107"/>
      <c r="D49" s="141"/>
      <c r="E49" s="107"/>
      <c r="F49" s="141"/>
      <c r="G49" s="108"/>
      <c r="H49" s="107"/>
      <c r="I49" s="141"/>
      <c r="J49" s="111"/>
      <c r="K49" s="141"/>
      <c r="M49" s="140"/>
    </row>
    <row r="50" spans="3:13" x14ac:dyDescent="0.2">
      <c r="C50" s="107"/>
      <c r="D50" s="141"/>
      <c r="E50" s="107"/>
      <c r="F50" s="141"/>
      <c r="G50" s="108"/>
      <c r="H50" s="107"/>
      <c r="I50" s="141"/>
      <c r="J50" s="107"/>
      <c r="K50" s="141"/>
      <c r="M50" s="140"/>
    </row>
    <row r="51" spans="3:13" x14ac:dyDescent="0.2">
      <c r="C51" s="111"/>
      <c r="D51" s="141"/>
      <c r="E51" s="107"/>
      <c r="F51" s="141"/>
      <c r="G51" s="108"/>
      <c r="H51" s="107"/>
      <c r="I51" s="141"/>
      <c r="J51" s="111"/>
      <c r="K51" s="141"/>
      <c r="M51" s="140"/>
    </row>
    <row r="52" spans="3:13" x14ac:dyDescent="0.2">
      <c r="C52" s="107"/>
      <c r="D52" s="141"/>
      <c r="E52" s="107"/>
      <c r="F52" s="141"/>
      <c r="G52" s="108"/>
      <c r="H52" s="107"/>
      <c r="I52" s="141"/>
      <c r="J52" s="111"/>
      <c r="K52" s="141"/>
      <c r="M52" s="140"/>
    </row>
    <row r="53" spans="3:13" x14ac:dyDescent="0.2">
      <c r="C53" s="112"/>
      <c r="D53" s="141"/>
      <c r="E53" s="111"/>
      <c r="F53" s="141"/>
      <c r="G53" s="108"/>
      <c r="H53" s="107"/>
      <c r="I53" s="141"/>
      <c r="J53" s="111"/>
      <c r="K53" s="141"/>
      <c r="M53" s="140"/>
    </row>
    <row r="54" spans="3:13" x14ac:dyDescent="0.2">
      <c r="C54" s="111"/>
      <c r="D54" s="141"/>
      <c r="E54" s="111"/>
      <c r="F54" s="141"/>
      <c r="G54" s="108"/>
      <c r="H54" s="107"/>
      <c r="I54" s="141"/>
      <c r="J54" s="111"/>
      <c r="K54" s="141"/>
      <c r="M54" s="140"/>
    </row>
    <row r="55" spans="3:13" x14ac:dyDescent="0.2">
      <c r="C55" s="107"/>
      <c r="D55" s="141"/>
      <c r="E55" s="111"/>
      <c r="F55" s="141"/>
      <c r="G55" s="108"/>
      <c r="H55" s="107"/>
      <c r="I55" s="141"/>
      <c r="J55" s="111"/>
      <c r="K55" s="141"/>
      <c r="M55" s="140"/>
    </row>
    <row r="56" spans="3:13" x14ac:dyDescent="0.2">
      <c r="C56" s="111"/>
      <c r="D56" s="108"/>
      <c r="E56" s="111"/>
      <c r="F56" s="141"/>
      <c r="G56" s="108"/>
      <c r="H56" s="107"/>
      <c r="I56" s="109"/>
      <c r="J56" s="111"/>
      <c r="K56" s="141"/>
      <c r="M56" s="140"/>
    </row>
  </sheetData>
  <sortState xmlns:xlrd2="http://schemas.microsoft.com/office/spreadsheetml/2017/richdata2" ref="A2:X27">
    <sortCondition ref="A2:A27"/>
  </sortState>
  <mergeCells count="17">
    <mergeCell ref="D51:D55"/>
    <mergeCell ref="D44:D50"/>
    <mergeCell ref="D31:D43"/>
    <mergeCell ref="F31:F42"/>
    <mergeCell ref="F43:F48"/>
    <mergeCell ref="F49:F52"/>
    <mergeCell ref="F53:F56"/>
    <mergeCell ref="M54:M56"/>
    <mergeCell ref="M46:M53"/>
    <mergeCell ref="M34:M45"/>
    <mergeCell ref="M31:M33"/>
    <mergeCell ref="I45:I55"/>
    <mergeCell ref="I32:I44"/>
    <mergeCell ref="K31:K37"/>
    <mergeCell ref="K48:K50"/>
    <mergeCell ref="K38:K47"/>
    <mergeCell ref="K51:K5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DD324-7EFF-4F83-AA5F-F7FDF5FA1C90}">
  <dimension ref="A1:X27"/>
  <sheetViews>
    <sheetView zoomScale="90" zoomScaleNormal="90" workbookViewId="0">
      <pane xSplit="2" ySplit="1" topLeftCell="M2" activePane="bottomRight" state="frozen"/>
      <selection pane="topRight" activeCell="C1" sqref="C1"/>
      <selection pane="bottomLeft" activeCell="A2" sqref="A2"/>
      <selection pane="bottomRight" activeCell="S7" sqref="S7"/>
    </sheetView>
  </sheetViews>
  <sheetFormatPr defaultColWidth="8.7109375" defaultRowHeight="14.25" x14ac:dyDescent="0.2"/>
  <cols>
    <col min="1" max="1" width="8.7109375" style="1"/>
    <col min="2" max="2" width="23.85546875" style="1" customWidth="1"/>
    <col min="3" max="3" width="20.85546875" style="1" customWidth="1"/>
    <col min="4" max="9" width="17.5703125" style="1" customWidth="1"/>
    <col min="10" max="10" width="19.140625" style="1" customWidth="1"/>
    <col min="11" max="12" width="17.5703125" style="1" customWidth="1"/>
    <col min="13" max="13" width="15.42578125" style="2" customWidth="1"/>
    <col min="14" max="14" width="21.28515625" style="2" customWidth="1"/>
    <col min="15" max="15" width="15.7109375" style="2" customWidth="1"/>
    <col min="16" max="16" width="16" style="2" customWidth="1"/>
    <col min="17" max="17" width="17" style="2" customWidth="1"/>
    <col min="18" max="18" width="18.85546875" style="2" customWidth="1"/>
    <col min="19" max="19" width="16.85546875" style="2" customWidth="1"/>
    <col min="20" max="20" width="15.140625" style="2" customWidth="1"/>
    <col min="21" max="21" width="17.7109375" style="2" customWidth="1"/>
    <col min="22" max="22" width="16.85546875" style="2" customWidth="1"/>
    <col min="23" max="23" width="16.28515625" style="2" customWidth="1"/>
    <col min="24" max="24" width="16.42578125" style="1" customWidth="1"/>
    <col min="25" max="16384" width="8.7109375" style="1"/>
  </cols>
  <sheetData>
    <row r="1" spans="1:24" ht="120" x14ac:dyDescent="0.2">
      <c r="A1" s="4" t="s">
        <v>0</v>
      </c>
      <c r="B1" s="61" t="s">
        <v>1</v>
      </c>
      <c r="C1" s="34" t="s">
        <v>57</v>
      </c>
      <c r="D1" s="36" t="s">
        <v>45</v>
      </c>
      <c r="E1" s="34" t="s">
        <v>55</v>
      </c>
      <c r="F1" s="101" t="s">
        <v>47</v>
      </c>
      <c r="G1" s="102" t="s">
        <v>44</v>
      </c>
      <c r="H1" s="34" t="s">
        <v>56</v>
      </c>
      <c r="I1" s="36" t="s">
        <v>49</v>
      </c>
      <c r="J1" s="34" t="s">
        <v>40</v>
      </c>
      <c r="K1" s="36" t="s">
        <v>58</v>
      </c>
      <c r="L1" s="41" t="s">
        <v>59</v>
      </c>
      <c r="M1" s="39" t="s">
        <v>2</v>
      </c>
      <c r="N1" s="40" t="s">
        <v>3</v>
      </c>
      <c r="O1" s="38" t="s">
        <v>4</v>
      </c>
      <c r="P1" s="39" t="s">
        <v>5</v>
      </c>
      <c r="Q1" s="41" t="s">
        <v>54</v>
      </c>
      <c r="R1" s="39" t="s">
        <v>6</v>
      </c>
      <c r="S1" s="37" t="s">
        <v>7</v>
      </c>
      <c r="T1" s="40" t="s">
        <v>8</v>
      </c>
      <c r="U1" s="40" t="s">
        <v>9</v>
      </c>
      <c r="V1" s="40" t="s">
        <v>10</v>
      </c>
      <c r="W1" s="40" t="s">
        <v>11</v>
      </c>
      <c r="X1" s="40" t="s">
        <v>12</v>
      </c>
    </row>
    <row r="2" spans="1:24" ht="15" x14ac:dyDescent="0.2">
      <c r="A2" s="6">
        <v>1</v>
      </c>
      <c r="B2" s="122" t="s">
        <v>13</v>
      </c>
      <c r="C2" s="67">
        <f>(1262.5+1103.7+1153.6)/3</f>
        <v>1173.2666666666667</v>
      </c>
      <c r="D2" s="68">
        <f t="shared" ref="D2:D27" si="0">IF(C2&lt;422,1,IF(C2&lt;1000,2,IF(C2&lt;3600,3,4)))</f>
        <v>3</v>
      </c>
      <c r="E2" s="99">
        <v>73.900000000000006</v>
      </c>
      <c r="F2" s="68">
        <f t="shared" ref="F2:F27" si="1">IF(E2&lt;30,1,IF(E2&lt;52,2,IF(E2&lt;92,3,4)))</f>
        <v>3</v>
      </c>
      <c r="G2" s="103">
        <f>(19+16+47)/3</f>
        <v>27.333333333333332</v>
      </c>
      <c r="H2" s="99">
        <f>G2/((17133+17052)/2)</f>
        <v>1.5991419238457413E-3</v>
      </c>
      <c r="I2" s="68">
        <f t="shared" ref="I2:I27" si="2">IF(H2&lt;0.001,1,IF(H2&lt;0.003,2,IF(H2&lt;0.007,3,4)))</f>
        <v>2</v>
      </c>
      <c r="J2" s="99">
        <v>25.1</v>
      </c>
      <c r="K2" s="68">
        <f t="shared" ref="K2:K27" si="3">IF(J2&lt;14,1,IF(J2&lt;30,2,IF(J2&lt;50,3,4)))</f>
        <v>2</v>
      </c>
      <c r="L2" s="70">
        <f t="shared" ref="L2:L27" si="4">((D2*20)+(F2*20)+(I2*20)+(K2*40)/100%)</f>
        <v>240</v>
      </c>
      <c r="M2" s="89">
        <f t="shared" ref="M2:M27" si="5">IF(L2&lt;160,1,IF(L2&lt;230,2,IF(L2&lt;300,3,4)))</f>
        <v>3</v>
      </c>
      <c r="N2" s="87">
        <v>4</v>
      </c>
      <c r="O2" s="88">
        <f t="shared" ref="O2:O27" si="6">M2*N2</f>
        <v>12</v>
      </c>
      <c r="P2" s="89">
        <f t="shared" ref="P2:P27" si="7">IF(O2&lt;3,1,IF(O2&lt;5,2,IF(O2&lt;12,3,4)))</f>
        <v>4</v>
      </c>
      <c r="Q2" s="48">
        <v>1.4</v>
      </c>
      <c r="R2" s="89">
        <f>IF(Q2&lt;1.5,1,IF(Q2&lt;2.5,2,IF(Q2&lt;3.3,3,4)))</f>
        <v>1</v>
      </c>
      <c r="S2" s="47">
        <f>P2-R2</f>
        <v>3</v>
      </c>
      <c r="T2" s="116">
        <f>IF(S2&lt;-1,1,IF(S2&lt;1,2,IF(S2=1,3,4)))</f>
        <v>4</v>
      </c>
      <c r="U2" s="53">
        <v>2</v>
      </c>
      <c r="V2" s="53">
        <v>7</v>
      </c>
      <c r="W2" s="53">
        <f t="shared" ref="W2:W27" si="8">U2*V2</f>
        <v>14</v>
      </c>
      <c r="X2" s="138">
        <f t="shared" ref="X2:X27" si="9">IF(W2&lt;6,1,IF(W2&lt;12,2,IF(W2&lt;18,3,4)))</f>
        <v>3</v>
      </c>
    </row>
    <row r="3" spans="1:24" ht="15" x14ac:dyDescent="0.2">
      <c r="A3" s="6">
        <v>2</v>
      </c>
      <c r="B3" s="122" t="s">
        <v>14</v>
      </c>
      <c r="C3" s="99">
        <v>187.8</v>
      </c>
      <c r="D3" s="68">
        <f t="shared" si="0"/>
        <v>1</v>
      </c>
      <c r="E3" s="99">
        <v>27.4</v>
      </c>
      <c r="F3" s="68">
        <f t="shared" si="1"/>
        <v>1</v>
      </c>
      <c r="G3" s="103">
        <f>(9+4+7)/3</f>
        <v>6.666666666666667</v>
      </c>
      <c r="H3" s="99">
        <f>G3/2770</f>
        <v>2.4067388688327317E-3</v>
      </c>
      <c r="I3" s="68">
        <f t="shared" si="2"/>
        <v>2</v>
      </c>
      <c r="J3" s="99">
        <v>46</v>
      </c>
      <c r="K3" s="68">
        <f t="shared" si="3"/>
        <v>3</v>
      </c>
      <c r="L3" s="70">
        <f t="shared" si="4"/>
        <v>200</v>
      </c>
      <c r="M3" s="89">
        <f t="shared" si="5"/>
        <v>2</v>
      </c>
      <c r="N3" s="87">
        <v>3</v>
      </c>
      <c r="O3" s="88">
        <f t="shared" si="6"/>
        <v>6</v>
      </c>
      <c r="P3" s="89">
        <f t="shared" si="7"/>
        <v>3</v>
      </c>
      <c r="Q3" s="48">
        <v>1.8</v>
      </c>
      <c r="R3" s="89">
        <f>IF(Q3&lt;1.5,1,IF(Q3&lt;2.5,2,IF(Q3&lt;3.3,3,4)))</f>
        <v>2</v>
      </c>
      <c r="S3" s="47">
        <f>P3-R3</f>
        <v>1</v>
      </c>
      <c r="T3" s="115">
        <f>IF(S3&lt;-1,1,IF(S3&lt;1,2,IF(S3=1,3,4)))</f>
        <v>3</v>
      </c>
      <c r="U3" s="53">
        <v>2</v>
      </c>
      <c r="V3" s="53">
        <v>6</v>
      </c>
      <c r="W3" s="53">
        <f t="shared" si="8"/>
        <v>12</v>
      </c>
      <c r="X3" s="138">
        <f t="shared" si="9"/>
        <v>3</v>
      </c>
    </row>
    <row r="4" spans="1:24" ht="25.5" x14ac:dyDescent="0.2">
      <c r="A4" s="6">
        <v>3</v>
      </c>
      <c r="B4" s="123" t="s">
        <v>41</v>
      </c>
      <c r="C4" s="99">
        <v>882.76</v>
      </c>
      <c r="D4" s="68">
        <f t="shared" si="0"/>
        <v>2</v>
      </c>
      <c r="E4" s="99">
        <v>38.630000000000003</v>
      </c>
      <c r="F4" s="68">
        <f t="shared" si="1"/>
        <v>2</v>
      </c>
      <c r="G4" s="103">
        <f>(48+43+44)/3</f>
        <v>45</v>
      </c>
      <c r="H4" s="99">
        <f>G4/15236</f>
        <v>2.9535311105276974E-3</v>
      </c>
      <c r="I4" s="68">
        <f t="shared" si="2"/>
        <v>2</v>
      </c>
      <c r="J4" s="99">
        <v>27.8</v>
      </c>
      <c r="K4" s="68">
        <f t="shared" si="3"/>
        <v>2</v>
      </c>
      <c r="L4" s="70">
        <f t="shared" si="4"/>
        <v>200</v>
      </c>
      <c r="M4" s="89">
        <f t="shared" si="5"/>
        <v>2</v>
      </c>
      <c r="N4" s="87">
        <v>4</v>
      </c>
      <c r="O4" s="88">
        <f t="shared" si="6"/>
        <v>8</v>
      </c>
      <c r="P4" s="89">
        <f t="shared" si="7"/>
        <v>3</v>
      </c>
      <c r="Q4" s="48">
        <v>3.8</v>
      </c>
      <c r="R4" s="89">
        <f>IF(Q4&lt;1.5,1,IF(Q4&lt;2.5,2,IF(Q4&lt;3.3,3,4)))</f>
        <v>4</v>
      </c>
      <c r="S4" s="47">
        <f>P4-R4</f>
        <v>-1</v>
      </c>
      <c r="T4" s="114">
        <f>IF(S4&lt;-1,1,IF(S4&lt;1,2,IF(S4=1,3,4)))</f>
        <v>2</v>
      </c>
      <c r="U4" s="53">
        <v>2</v>
      </c>
      <c r="V4" s="53">
        <v>7</v>
      </c>
      <c r="W4" s="53">
        <f t="shared" si="8"/>
        <v>14</v>
      </c>
      <c r="X4" s="138">
        <f t="shared" si="9"/>
        <v>3</v>
      </c>
    </row>
    <row r="5" spans="1:24" ht="15" x14ac:dyDescent="0.2">
      <c r="A5" s="6">
        <v>4</v>
      </c>
      <c r="B5" s="122" t="s">
        <v>15</v>
      </c>
      <c r="C5" s="99">
        <v>359.23</v>
      </c>
      <c r="D5" s="68">
        <f t="shared" si="0"/>
        <v>1</v>
      </c>
      <c r="E5" s="99">
        <v>87.78</v>
      </c>
      <c r="F5" s="68">
        <f t="shared" si="1"/>
        <v>3</v>
      </c>
      <c r="G5" s="103">
        <f>(9+12+10)/3</f>
        <v>10.333333333333334</v>
      </c>
      <c r="H5" s="99">
        <f>G5/3563</f>
        <v>2.9001777528300122E-3</v>
      </c>
      <c r="I5" s="68">
        <f t="shared" si="2"/>
        <v>2</v>
      </c>
      <c r="J5" s="99">
        <v>13.4</v>
      </c>
      <c r="K5" s="68">
        <f t="shared" si="3"/>
        <v>1</v>
      </c>
      <c r="L5" s="70">
        <f t="shared" si="4"/>
        <v>160</v>
      </c>
      <c r="M5" s="89">
        <f t="shared" si="5"/>
        <v>2</v>
      </c>
      <c r="N5" s="87">
        <v>2</v>
      </c>
      <c r="O5" s="88">
        <f t="shared" si="6"/>
        <v>4</v>
      </c>
      <c r="P5" s="89">
        <f t="shared" si="7"/>
        <v>2</v>
      </c>
      <c r="Q5" s="48">
        <v>2.4</v>
      </c>
      <c r="R5" s="89">
        <f>IF(Q5&lt;1.5,1,IF(Q5&lt;2.5,2,IF(Q5&lt;3.3,3,4)))</f>
        <v>2</v>
      </c>
      <c r="S5" s="47">
        <f>P5-R5</f>
        <v>0</v>
      </c>
      <c r="T5" s="114">
        <f>IF(S5&lt;-1,1,IF(S5&lt;1,2,IF(S5=1,3,4)))</f>
        <v>2</v>
      </c>
      <c r="U5" s="53">
        <v>2</v>
      </c>
      <c r="V5" s="53">
        <v>5</v>
      </c>
      <c r="W5" s="53">
        <f t="shared" si="8"/>
        <v>10</v>
      </c>
      <c r="X5" s="139">
        <f t="shared" si="9"/>
        <v>2</v>
      </c>
    </row>
    <row r="6" spans="1:24" ht="15" x14ac:dyDescent="0.2">
      <c r="A6" s="6">
        <v>5</v>
      </c>
      <c r="B6" s="122" t="s">
        <v>16</v>
      </c>
      <c r="C6" s="99">
        <v>2160.2600000000002</v>
      </c>
      <c r="D6" s="68">
        <f t="shared" si="0"/>
        <v>3</v>
      </c>
      <c r="E6" s="99">
        <v>189.36</v>
      </c>
      <c r="F6" s="68">
        <f t="shared" si="1"/>
        <v>4</v>
      </c>
      <c r="G6" s="103">
        <f>(49+42+49)/3</f>
        <v>46.666666666666664</v>
      </c>
      <c r="H6" s="99">
        <f>G6/7889</f>
        <v>5.9154096421177166E-3</v>
      </c>
      <c r="I6" s="68">
        <f t="shared" si="2"/>
        <v>3</v>
      </c>
      <c r="J6" s="99">
        <v>62.8</v>
      </c>
      <c r="K6" s="68">
        <f t="shared" si="3"/>
        <v>4</v>
      </c>
      <c r="L6" s="70">
        <f t="shared" si="4"/>
        <v>360</v>
      </c>
      <c r="M6" s="89">
        <f t="shared" si="5"/>
        <v>4</v>
      </c>
      <c r="N6" s="87">
        <v>2</v>
      </c>
      <c r="O6" s="88">
        <f t="shared" si="6"/>
        <v>8</v>
      </c>
      <c r="P6" s="89">
        <f t="shared" si="7"/>
        <v>3</v>
      </c>
      <c r="Q6" s="48" t="s">
        <v>37</v>
      </c>
      <c r="R6" s="106" t="s">
        <v>37</v>
      </c>
      <c r="S6" s="92" t="s">
        <v>37</v>
      </c>
      <c r="T6" s="115">
        <f>P6</f>
        <v>3</v>
      </c>
      <c r="U6" s="53">
        <v>2</v>
      </c>
      <c r="V6" s="53">
        <v>5</v>
      </c>
      <c r="W6" s="53">
        <f t="shared" si="8"/>
        <v>10</v>
      </c>
      <c r="X6" s="139">
        <f t="shared" si="9"/>
        <v>2</v>
      </c>
    </row>
    <row r="7" spans="1:24" ht="15" x14ac:dyDescent="0.2">
      <c r="A7" s="6">
        <v>6</v>
      </c>
      <c r="B7" s="122" t="s">
        <v>17</v>
      </c>
      <c r="C7" s="99">
        <v>229.63</v>
      </c>
      <c r="D7" s="68">
        <f t="shared" si="0"/>
        <v>1</v>
      </c>
      <c r="E7" s="99">
        <v>21.66</v>
      </c>
      <c r="F7" s="68">
        <f t="shared" si="1"/>
        <v>1</v>
      </c>
      <c r="G7" s="103">
        <f>(28+39+41)/3</f>
        <v>36</v>
      </c>
      <c r="H7" s="99">
        <f>G7/7187</f>
        <v>5.0090441074161678E-3</v>
      </c>
      <c r="I7" s="68">
        <f t="shared" si="2"/>
        <v>3</v>
      </c>
      <c r="J7" s="99">
        <v>13.3</v>
      </c>
      <c r="K7" s="68">
        <f t="shared" si="3"/>
        <v>1</v>
      </c>
      <c r="L7" s="70">
        <f t="shared" si="4"/>
        <v>140</v>
      </c>
      <c r="M7" s="89">
        <f t="shared" si="5"/>
        <v>1</v>
      </c>
      <c r="N7" s="87">
        <v>3</v>
      </c>
      <c r="O7" s="88">
        <f t="shared" si="6"/>
        <v>3</v>
      </c>
      <c r="P7" s="89">
        <f t="shared" si="7"/>
        <v>2</v>
      </c>
      <c r="Q7" s="48">
        <v>1.4</v>
      </c>
      <c r="R7" s="89">
        <f t="shared" ref="R7:R27" si="10">IF(Q7&lt;1.5,1,IF(Q7&lt;2.5,2,IF(Q7&lt;3.3,3,4)))</f>
        <v>1</v>
      </c>
      <c r="S7" s="47">
        <f t="shared" ref="S7:S27" si="11">P7-R7</f>
        <v>1</v>
      </c>
      <c r="T7" s="114">
        <f t="shared" ref="T7:T27" si="12">IF(S7&lt;-1,1,IF(S7&lt;1,2,IF(S7=1,3,4)))</f>
        <v>3</v>
      </c>
      <c r="U7" s="53">
        <v>2</v>
      </c>
      <c r="V7" s="53">
        <v>7</v>
      </c>
      <c r="W7" s="53">
        <f t="shared" si="8"/>
        <v>14</v>
      </c>
      <c r="X7" s="138">
        <f t="shared" si="9"/>
        <v>3</v>
      </c>
    </row>
    <row r="8" spans="1:24" ht="15" x14ac:dyDescent="0.2">
      <c r="A8" s="6">
        <v>7</v>
      </c>
      <c r="B8" s="122" t="s">
        <v>18</v>
      </c>
      <c r="C8" s="67">
        <v>846.36666666666667</v>
      </c>
      <c r="D8" s="68">
        <f t="shared" si="0"/>
        <v>2</v>
      </c>
      <c r="E8" s="99">
        <v>76.900000000000006</v>
      </c>
      <c r="F8" s="68">
        <f t="shared" si="1"/>
        <v>3</v>
      </c>
      <c r="G8" s="103">
        <v>39</v>
      </c>
      <c r="H8" s="99">
        <f>G8/6331</f>
        <v>6.1601642710472282E-3</v>
      </c>
      <c r="I8" s="68">
        <f t="shared" si="2"/>
        <v>3</v>
      </c>
      <c r="J8" s="99">
        <v>42.7</v>
      </c>
      <c r="K8" s="68">
        <f t="shared" si="3"/>
        <v>3</v>
      </c>
      <c r="L8" s="70">
        <f t="shared" si="4"/>
        <v>280</v>
      </c>
      <c r="M8" s="89">
        <f t="shared" si="5"/>
        <v>3</v>
      </c>
      <c r="N8" s="87">
        <v>1</v>
      </c>
      <c r="O8" s="88">
        <f t="shared" si="6"/>
        <v>3</v>
      </c>
      <c r="P8" s="89">
        <f t="shared" si="7"/>
        <v>2</v>
      </c>
      <c r="Q8" s="48">
        <v>1.2</v>
      </c>
      <c r="R8" s="89">
        <f t="shared" si="10"/>
        <v>1</v>
      </c>
      <c r="S8" s="47">
        <f t="shared" si="11"/>
        <v>1</v>
      </c>
      <c r="T8" s="115">
        <f t="shared" si="12"/>
        <v>3</v>
      </c>
      <c r="U8" s="53">
        <v>2</v>
      </c>
      <c r="V8" s="53">
        <v>5</v>
      </c>
      <c r="W8" s="53">
        <f t="shared" si="8"/>
        <v>10</v>
      </c>
      <c r="X8" s="139">
        <f t="shared" si="9"/>
        <v>2</v>
      </c>
    </row>
    <row r="9" spans="1:24" ht="15" x14ac:dyDescent="0.2">
      <c r="A9" s="6">
        <v>8</v>
      </c>
      <c r="B9" s="122" t="s">
        <v>19</v>
      </c>
      <c r="C9" s="99">
        <v>977</v>
      </c>
      <c r="D9" s="68">
        <f t="shared" si="0"/>
        <v>2</v>
      </c>
      <c r="E9" s="99">
        <v>126.3</v>
      </c>
      <c r="F9" s="68">
        <f t="shared" si="1"/>
        <v>4</v>
      </c>
      <c r="G9" s="103">
        <f>(26+10+12)/3</f>
        <v>16</v>
      </c>
      <c r="H9" s="99">
        <f>G9/4502</f>
        <v>3.5539760106619279E-3</v>
      </c>
      <c r="I9" s="68">
        <f t="shared" si="2"/>
        <v>3</v>
      </c>
      <c r="J9" s="99">
        <v>51.8</v>
      </c>
      <c r="K9" s="68">
        <f t="shared" si="3"/>
        <v>4</v>
      </c>
      <c r="L9" s="70">
        <f t="shared" si="4"/>
        <v>340</v>
      </c>
      <c r="M9" s="89">
        <f t="shared" si="5"/>
        <v>4</v>
      </c>
      <c r="N9" s="87">
        <v>1</v>
      </c>
      <c r="O9" s="88">
        <f t="shared" si="6"/>
        <v>4</v>
      </c>
      <c r="P9" s="89">
        <f t="shared" si="7"/>
        <v>2</v>
      </c>
      <c r="Q9" s="48">
        <v>3</v>
      </c>
      <c r="R9" s="89">
        <f t="shared" si="10"/>
        <v>3</v>
      </c>
      <c r="S9" s="47">
        <f t="shared" si="11"/>
        <v>-1</v>
      </c>
      <c r="T9" s="113">
        <f t="shared" si="12"/>
        <v>2</v>
      </c>
      <c r="U9" s="53">
        <v>2</v>
      </c>
      <c r="V9" s="53">
        <v>5</v>
      </c>
      <c r="W9" s="53">
        <f t="shared" si="8"/>
        <v>10</v>
      </c>
      <c r="X9" s="139">
        <f t="shared" si="9"/>
        <v>2</v>
      </c>
    </row>
    <row r="10" spans="1:24" ht="15" x14ac:dyDescent="0.2">
      <c r="A10" s="6">
        <v>9</v>
      </c>
      <c r="B10" s="122" t="s">
        <v>20</v>
      </c>
      <c r="C10" s="99">
        <v>104.5</v>
      </c>
      <c r="D10" s="68">
        <f t="shared" si="0"/>
        <v>1</v>
      </c>
      <c r="E10" s="99">
        <v>13.13</v>
      </c>
      <c r="F10" s="68">
        <f t="shared" si="1"/>
        <v>1</v>
      </c>
      <c r="G10" s="103">
        <f>(9+3+6)/3</f>
        <v>6</v>
      </c>
      <c r="H10" s="99">
        <f>G10/2407</f>
        <v>2.4927295388450354E-3</v>
      </c>
      <c r="I10" s="68">
        <f t="shared" si="2"/>
        <v>2</v>
      </c>
      <c r="J10" s="99">
        <v>23</v>
      </c>
      <c r="K10" s="68">
        <f t="shared" si="3"/>
        <v>2</v>
      </c>
      <c r="L10" s="70">
        <f t="shared" si="4"/>
        <v>160</v>
      </c>
      <c r="M10" s="89">
        <f t="shared" si="5"/>
        <v>2</v>
      </c>
      <c r="N10" s="87">
        <v>3</v>
      </c>
      <c r="O10" s="88">
        <f t="shared" si="6"/>
        <v>6</v>
      </c>
      <c r="P10" s="89">
        <f t="shared" si="7"/>
        <v>3</v>
      </c>
      <c r="Q10" s="48">
        <v>1.4</v>
      </c>
      <c r="R10" s="89">
        <f t="shared" si="10"/>
        <v>1</v>
      </c>
      <c r="S10" s="47">
        <f t="shared" si="11"/>
        <v>2</v>
      </c>
      <c r="T10" s="115">
        <f t="shared" si="12"/>
        <v>4</v>
      </c>
      <c r="U10" s="53">
        <v>2</v>
      </c>
      <c r="V10" s="53">
        <v>6</v>
      </c>
      <c r="W10" s="53">
        <f t="shared" si="8"/>
        <v>12</v>
      </c>
      <c r="X10" s="138">
        <f t="shared" si="9"/>
        <v>3</v>
      </c>
    </row>
    <row r="11" spans="1:24" ht="15" x14ac:dyDescent="0.2">
      <c r="A11" s="6">
        <v>10</v>
      </c>
      <c r="B11" s="122" t="s">
        <v>21</v>
      </c>
      <c r="C11" s="99">
        <v>236.6</v>
      </c>
      <c r="D11" s="68">
        <f t="shared" si="0"/>
        <v>1</v>
      </c>
      <c r="E11" s="99">
        <v>42.7</v>
      </c>
      <c r="F11" s="68">
        <f t="shared" si="1"/>
        <v>2</v>
      </c>
      <c r="G11" s="103">
        <f>(6+8+6)/3</f>
        <v>6.666666666666667</v>
      </c>
      <c r="H11" s="99">
        <f>G11/4486</f>
        <v>1.486104919007282E-3</v>
      </c>
      <c r="I11" s="68">
        <f t="shared" si="2"/>
        <v>2</v>
      </c>
      <c r="J11" s="99">
        <v>12.9</v>
      </c>
      <c r="K11" s="68">
        <f t="shared" si="3"/>
        <v>1</v>
      </c>
      <c r="L11" s="70">
        <f t="shared" si="4"/>
        <v>140</v>
      </c>
      <c r="M11" s="89">
        <f t="shared" si="5"/>
        <v>1</v>
      </c>
      <c r="N11" s="87">
        <v>4</v>
      </c>
      <c r="O11" s="88">
        <f t="shared" si="6"/>
        <v>4</v>
      </c>
      <c r="P11" s="89">
        <f t="shared" si="7"/>
        <v>2</v>
      </c>
      <c r="Q11" s="48">
        <v>2.2000000000000002</v>
      </c>
      <c r="R11" s="89">
        <f t="shared" si="10"/>
        <v>2</v>
      </c>
      <c r="S11" s="47">
        <f t="shared" si="11"/>
        <v>0</v>
      </c>
      <c r="T11" s="114">
        <f t="shared" si="12"/>
        <v>2</v>
      </c>
      <c r="U11" s="53">
        <v>2</v>
      </c>
      <c r="V11" s="53">
        <v>7</v>
      </c>
      <c r="W11" s="53">
        <f t="shared" si="8"/>
        <v>14</v>
      </c>
      <c r="X11" s="138">
        <f t="shared" si="9"/>
        <v>3</v>
      </c>
    </row>
    <row r="12" spans="1:24" ht="15" x14ac:dyDescent="0.2">
      <c r="A12" s="6">
        <v>11</v>
      </c>
      <c r="B12" s="122" t="s">
        <v>22</v>
      </c>
      <c r="C12" s="99">
        <v>180</v>
      </c>
      <c r="D12" s="68">
        <f t="shared" si="0"/>
        <v>1</v>
      </c>
      <c r="E12" s="99">
        <v>15.83</v>
      </c>
      <c r="F12" s="68">
        <f t="shared" si="1"/>
        <v>1</v>
      </c>
      <c r="G12" s="103">
        <f>(7+4)/2</f>
        <v>5.5</v>
      </c>
      <c r="H12" s="99">
        <f>G12/2234</f>
        <v>2.4619516562220233E-3</v>
      </c>
      <c r="I12" s="68">
        <f t="shared" si="2"/>
        <v>2</v>
      </c>
      <c r="J12" s="99">
        <v>18.5</v>
      </c>
      <c r="K12" s="68">
        <f t="shared" si="3"/>
        <v>2</v>
      </c>
      <c r="L12" s="70">
        <f t="shared" si="4"/>
        <v>160</v>
      </c>
      <c r="M12" s="89">
        <f t="shared" si="5"/>
        <v>2</v>
      </c>
      <c r="N12" s="87">
        <v>4</v>
      </c>
      <c r="O12" s="88">
        <f t="shared" si="6"/>
        <v>8</v>
      </c>
      <c r="P12" s="89">
        <f t="shared" si="7"/>
        <v>3</v>
      </c>
      <c r="Q12" s="48">
        <v>2.6</v>
      </c>
      <c r="R12" s="89">
        <f t="shared" si="10"/>
        <v>3</v>
      </c>
      <c r="S12" s="47">
        <f t="shared" si="11"/>
        <v>0</v>
      </c>
      <c r="T12" s="115">
        <f t="shared" si="12"/>
        <v>2</v>
      </c>
      <c r="U12" s="53">
        <v>2</v>
      </c>
      <c r="V12" s="53">
        <v>7</v>
      </c>
      <c r="W12" s="53">
        <f t="shared" si="8"/>
        <v>14</v>
      </c>
      <c r="X12" s="138">
        <f t="shared" si="9"/>
        <v>3</v>
      </c>
    </row>
    <row r="13" spans="1:24" ht="15" x14ac:dyDescent="0.2">
      <c r="A13" s="6">
        <v>12</v>
      </c>
      <c r="B13" s="122" t="s">
        <v>42</v>
      </c>
      <c r="C13" s="99">
        <v>422.86</v>
      </c>
      <c r="D13" s="68">
        <f t="shared" si="0"/>
        <v>2</v>
      </c>
      <c r="E13" s="99">
        <v>34.96</v>
      </c>
      <c r="F13" s="68">
        <f t="shared" si="1"/>
        <v>2</v>
      </c>
      <c r="G13" s="103">
        <f>(82+93+47)/3</f>
        <v>74</v>
      </c>
      <c r="H13" s="99">
        <f>G13/7006</f>
        <v>1.0562375107051099E-2</v>
      </c>
      <c r="I13" s="68">
        <f t="shared" si="2"/>
        <v>4</v>
      </c>
      <c r="J13" s="99">
        <v>28.9</v>
      </c>
      <c r="K13" s="68">
        <f t="shared" si="3"/>
        <v>2</v>
      </c>
      <c r="L13" s="70">
        <f t="shared" si="4"/>
        <v>240</v>
      </c>
      <c r="M13" s="89">
        <f t="shared" si="5"/>
        <v>3</v>
      </c>
      <c r="N13" s="87">
        <v>4</v>
      </c>
      <c r="O13" s="88">
        <f t="shared" si="6"/>
        <v>12</v>
      </c>
      <c r="P13" s="89">
        <f t="shared" si="7"/>
        <v>4</v>
      </c>
      <c r="Q13" s="48">
        <v>1.4</v>
      </c>
      <c r="R13" s="89">
        <f t="shared" si="10"/>
        <v>1</v>
      </c>
      <c r="S13" s="47">
        <f t="shared" si="11"/>
        <v>3</v>
      </c>
      <c r="T13" s="116">
        <f t="shared" si="12"/>
        <v>4</v>
      </c>
      <c r="U13" s="53">
        <v>2</v>
      </c>
      <c r="V13" s="53">
        <v>7</v>
      </c>
      <c r="W13" s="53">
        <f t="shared" si="8"/>
        <v>14</v>
      </c>
      <c r="X13" s="138">
        <f t="shared" si="9"/>
        <v>3</v>
      </c>
    </row>
    <row r="14" spans="1:24" ht="15" x14ac:dyDescent="0.2">
      <c r="A14" s="6">
        <v>13</v>
      </c>
      <c r="B14" s="122" t="s">
        <v>23</v>
      </c>
      <c r="C14" s="99">
        <v>474.23</v>
      </c>
      <c r="D14" s="68">
        <f t="shared" si="0"/>
        <v>2</v>
      </c>
      <c r="E14" s="99">
        <v>109.36</v>
      </c>
      <c r="F14" s="68">
        <f t="shared" si="1"/>
        <v>4</v>
      </c>
      <c r="G14" s="103">
        <f>(8+7+24)/3</f>
        <v>13</v>
      </c>
      <c r="H14" s="99">
        <f>G14/5748</f>
        <v>2.2616562282533055E-3</v>
      </c>
      <c r="I14" s="68">
        <f t="shared" si="2"/>
        <v>2</v>
      </c>
      <c r="J14" s="99">
        <v>52.4</v>
      </c>
      <c r="K14" s="68">
        <f t="shared" si="3"/>
        <v>4</v>
      </c>
      <c r="L14" s="70">
        <f t="shared" si="4"/>
        <v>320</v>
      </c>
      <c r="M14" s="89">
        <f t="shared" si="5"/>
        <v>4</v>
      </c>
      <c r="N14" s="87">
        <v>3</v>
      </c>
      <c r="O14" s="88">
        <f t="shared" si="6"/>
        <v>12</v>
      </c>
      <c r="P14" s="89">
        <f t="shared" si="7"/>
        <v>4</v>
      </c>
      <c r="Q14" s="48">
        <v>1.8</v>
      </c>
      <c r="R14" s="89">
        <f t="shared" si="10"/>
        <v>2</v>
      </c>
      <c r="S14" s="47">
        <f t="shared" si="11"/>
        <v>2</v>
      </c>
      <c r="T14" s="116">
        <f t="shared" si="12"/>
        <v>4</v>
      </c>
      <c r="U14" s="53">
        <v>2</v>
      </c>
      <c r="V14" s="53">
        <v>6</v>
      </c>
      <c r="W14" s="53">
        <f t="shared" si="8"/>
        <v>12</v>
      </c>
      <c r="X14" s="138">
        <f t="shared" si="9"/>
        <v>3</v>
      </c>
    </row>
    <row r="15" spans="1:24" ht="15" x14ac:dyDescent="0.2">
      <c r="A15" s="6">
        <v>14</v>
      </c>
      <c r="B15" s="122" t="s">
        <v>24</v>
      </c>
      <c r="C15" s="99">
        <v>363</v>
      </c>
      <c r="D15" s="68">
        <f t="shared" si="0"/>
        <v>1</v>
      </c>
      <c r="E15" s="99">
        <v>19</v>
      </c>
      <c r="F15" s="68">
        <f t="shared" si="1"/>
        <v>1</v>
      </c>
      <c r="G15" s="103">
        <f>(27+25+33)/3</f>
        <v>28.333333333333332</v>
      </c>
      <c r="H15" s="99">
        <f>G15/6581</f>
        <v>4.305323405764068E-3</v>
      </c>
      <c r="I15" s="68">
        <f t="shared" si="2"/>
        <v>3</v>
      </c>
      <c r="J15" s="99">
        <v>60</v>
      </c>
      <c r="K15" s="68">
        <f t="shared" si="3"/>
        <v>4</v>
      </c>
      <c r="L15" s="70">
        <f t="shared" si="4"/>
        <v>260</v>
      </c>
      <c r="M15" s="89">
        <f t="shared" si="5"/>
        <v>3</v>
      </c>
      <c r="N15" s="87">
        <v>3</v>
      </c>
      <c r="O15" s="88">
        <f t="shared" si="6"/>
        <v>9</v>
      </c>
      <c r="P15" s="89">
        <f t="shared" si="7"/>
        <v>3</v>
      </c>
      <c r="Q15" s="48">
        <v>1.6</v>
      </c>
      <c r="R15" s="89">
        <f t="shared" si="10"/>
        <v>2</v>
      </c>
      <c r="S15" s="47">
        <f t="shared" si="11"/>
        <v>1</v>
      </c>
      <c r="T15" s="115">
        <f t="shared" si="12"/>
        <v>3</v>
      </c>
      <c r="U15" s="53">
        <v>2</v>
      </c>
      <c r="V15" s="53">
        <v>6</v>
      </c>
      <c r="W15" s="53">
        <f t="shared" si="8"/>
        <v>12</v>
      </c>
      <c r="X15" s="138">
        <f t="shared" si="9"/>
        <v>3</v>
      </c>
    </row>
    <row r="16" spans="1:24" ht="15" x14ac:dyDescent="0.2">
      <c r="A16" s="6">
        <v>15</v>
      </c>
      <c r="B16" s="122" t="s">
        <v>25</v>
      </c>
      <c r="C16" s="99">
        <v>243.36</v>
      </c>
      <c r="D16" s="68">
        <f t="shared" si="0"/>
        <v>1</v>
      </c>
      <c r="E16" s="99">
        <v>28.96</v>
      </c>
      <c r="F16" s="68">
        <f t="shared" si="1"/>
        <v>1</v>
      </c>
      <c r="G16" s="103">
        <f>(4+9+5)/3</f>
        <v>6</v>
      </c>
      <c r="H16" s="99">
        <f>G16/5920</f>
        <v>1.0135135135135136E-3</v>
      </c>
      <c r="I16" s="68">
        <f t="shared" si="2"/>
        <v>2</v>
      </c>
      <c r="J16" s="99">
        <v>22.9</v>
      </c>
      <c r="K16" s="68">
        <f t="shared" si="3"/>
        <v>2</v>
      </c>
      <c r="L16" s="70">
        <f t="shared" si="4"/>
        <v>160</v>
      </c>
      <c r="M16" s="89">
        <f t="shared" si="5"/>
        <v>2</v>
      </c>
      <c r="N16" s="87">
        <v>3</v>
      </c>
      <c r="O16" s="88">
        <f t="shared" si="6"/>
        <v>6</v>
      </c>
      <c r="P16" s="89">
        <f t="shared" si="7"/>
        <v>3</v>
      </c>
      <c r="Q16" s="49">
        <v>1.6</v>
      </c>
      <c r="R16" s="89">
        <f t="shared" si="10"/>
        <v>2</v>
      </c>
      <c r="S16" s="47">
        <f t="shared" si="11"/>
        <v>1</v>
      </c>
      <c r="T16" s="115">
        <f t="shared" si="12"/>
        <v>3</v>
      </c>
      <c r="U16" s="53">
        <v>2</v>
      </c>
      <c r="V16" s="53">
        <v>7</v>
      </c>
      <c r="W16" s="53">
        <f t="shared" si="8"/>
        <v>14</v>
      </c>
      <c r="X16" s="138">
        <f t="shared" si="9"/>
        <v>3</v>
      </c>
    </row>
    <row r="17" spans="1:24" ht="15" x14ac:dyDescent="0.2">
      <c r="A17" s="6">
        <v>16</v>
      </c>
      <c r="B17" s="122" t="s">
        <v>26</v>
      </c>
      <c r="C17" s="99">
        <v>493.56</v>
      </c>
      <c r="D17" s="68">
        <f t="shared" si="0"/>
        <v>2</v>
      </c>
      <c r="E17" s="99">
        <v>51.83</v>
      </c>
      <c r="F17" s="68">
        <f t="shared" si="1"/>
        <v>2</v>
      </c>
      <c r="G17" s="103">
        <f>(14+9+8)/3</f>
        <v>10.333333333333334</v>
      </c>
      <c r="H17" s="99">
        <f>G17/4609</f>
        <v>2.2419903088160848E-3</v>
      </c>
      <c r="I17" s="68">
        <f t="shared" si="2"/>
        <v>2</v>
      </c>
      <c r="J17" s="99">
        <v>22.4</v>
      </c>
      <c r="K17" s="68">
        <f t="shared" si="3"/>
        <v>2</v>
      </c>
      <c r="L17" s="70">
        <f t="shared" si="4"/>
        <v>200</v>
      </c>
      <c r="M17" s="89">
        <f t="shared" si="5"/>
        <v>2</v>
      </c>
      <c r="N17" s="87">
        <v>2</v>
      </c>
      <c r="O17" s="88">
        <f t="shared" si="6"/>
        <v>4</v>
      </c>
      <c r="P17" s="89">
        <f t="shared" si="7"/>
        <v>2</v>
      </c>
      <c r="Q17" s="48">
        <v>1.4</v>
      </c>
      <c r="R17" s="89">
        <f t="shared" si="10"/>
        <v>1</v>
      </c>
      <c r="S17" s="47">
        <f t="shared" si="11"/>
        <v>1</v>
      </c>
      <c r="T17" s="114">
        <f t="shared" si="12"/>
        <v>3</v>
      </c>
      <c r="U17" s="53">
        <v>2</v>
      </c>
      <c r="V17" s="53">
        <v>5</v>
      </c>
      <c r="W17" s="53">
        <f t="shared" si="8"/>
        <v>10</v>
      </c>
      <c r="X17" s="139">
        <f t="shared" si="9"/>
        <v>2</v>
      </c>
    </row>
    <row r="18" spans="1:24" ht="15" x14ac:dyDescent="0.2">
      <c r="A18" s="6">
        <v>17</v>
      </c>
      <c r="B18" s="122" t="s">
        <v>27</v>
      </c>
      <c r="C18" s="99">
        <v>234.83</v>
      </c>
      <c r="D18" s="68">
        <f t="shared" si="0"/>
        <v>1</v>
      </c>
      <c r="E18" s="99">
        <v>15.4</v>
      </c>
      <c r="F18" s="68">
        <f t="shared" si="1"/>
        <v>1</v>
      </c>
      <c r="G18" s="103">
        <f>(30+8+18)/3</f>
        <v>18.666666666666668</v>
      </c>
      <c r="H18" s="99">
        <f>G18/5548</f>
        <v>3.3645758231194427E-3</v>
      </c>
      <c r="I18" s="68">
        <f t="shared" si="2"/>
        <v>3</v>
      </c>
      <c r="J18" s="99">
        <v>29.6</v>
      </c>
      <c r="K18" s="68">
        <f t="shared" si="3"/>
        <v>2</v>
      </c>
      <c r="L18" s="70">
        <f t="shared" si="4"/>
        <v>180</v>
      </c>
      <c r="M18" s="89">
        <f t="shared" si="5"/>
        <v>2</v>
      </c>
      <c r="N18" s="87">
        <v>3</v>
      </c>
      <c r="O18" s="88">
        <f t="shared" si="6"/>
        <v>6</v>
      </c>
      <c r="P18" s="89">
        <f t="shared" si="7"/>
        <v>3</v>
      </c>
      <c r="Q18" s="48">
        <v>2.2000000000000002</v>
      </c>
      <c r="R18" s="89">
        <f t="shared" si="10"/>
        <v>2</v>
      </c>
      <c r="S18" s="47">
        <f t="shared" si="11"/>
        <v>1</v>
      </c>
      <c r="T18" s="115">
        <f t="shared" si="12"/>
        <v>3</v>
      </c>
      <c r="U18" s="53">
        <v>2</v>
      </c>
      <c r="V18" s="53">
        <v>6</v>
      </c>
      <c r="W18" s="53">
        <f t="shared" si="8"/>
        <v>12</v>
      </c>
      <c r="X18" s="138">
        <f t="shared" si="9"/>
        <v>3</v>
      </c>
    </row>
    <row r="19" spans="1:24" ht="15" x14ac:dyDescent="0.2">
      <c r="A19" s="6">
        <v>18</v>
      </c>
      <c r="B19" s="122" t="s">
        <v>28</v>
      </c>
      <c r="C19" s="99">
        <v>1111.3</v>
      </c>
      <c r="D19" s="68">
        <f t="shared" si="0"/>
        <v>3</v>
      </c>
      <c r="E19" s="99">
        <v>91.56</v>
      </c>
      <c r="F19" s="68">
        <f t="shared" si="1"/>
        <v>3</v>
      </c>
      <c r="G19" s="103">
        <f>(8+8+11)/3</f>
        <v>9</v>
      </c>
      <c r="H19" s="99">
        <f>G19/9176</f>
        <v>9.8081952920662597E-4</v>
      </c>
      <c r="I19" s="68">
        <f t="shared" si="2"/>
        <v>1</v>
      </c>
      <c r="J19" s="99">
        <v>38.799999999999997</v>
      </c>
      <c r="K19" s="68">
        <f t="shared" si="3"/>
        <v>3</v>
      </c>
      <c r="L19" s="70">
        <f t="shared" si="4"/>
        <v>260</v>
      </c>
      <c r="M19" s="89">
        <f t="shared" si="5"/>
        <v>3</v>
      </c>
      <c r="N19" s="87">
        <v>3</v>
      </c>
      <c r="O19" s="88">
        <f t="shared" si="6"/>
        <v>9</v>
      </c>
      <c r="P19" s="89">
        <f t="shared" si="7"/>
        <v>3</v>
      </c>
      <c r="Q19" s="48">
        <v>1.2</v>
      </c>
      <c r="R19" s="89">
        <f t="shared" si="10"/>
        <v>1</v>
      </c>
      <c r="S19" s="47">
        <f t="shared" si="11"/>
        <v>2</v>
      </c>
      <c r="T19" s="116">
        <f t="shared" si="12"/>
        <v>4</v>
      </c>
      <c r="U19" s="53">
        <v>2</v>
      </c>
      <c r="V19" s="53">
        <v>6</v>
      </c>
      <c r="W19" s="53">
        <f t="shared" si="8"/>
        <v>12</v>
      </c>
      <c r="X19" s="138">
        <f t="shared" si="9"/>
        <v>3</v>
      </c>
    </row>
    <row r="20" spans="1:24" ht="15" x14ac:dyDescent="0.2">
      <c r="A20" s="6">
        <v>19</v>
      </c>
      <c r="B20" s="122" t="s">
        <v>29</v>
      </c>
      <c r="C20" s="99">
        <v>283.89999999999998</v>
      </c>
      <c r="D20" s="68">
        <f t="shared" si="0"/>
        <v>1</v>
      </c>
      <c r="E20" s="99">
        <v>39.630000000000003</v>
      </c>
      <c r="F20" s="68">
        <f t="shared" si="1"/>
        <v>2</v>
      </c>
      <c r="G20" s="103">
        <f>(34+34+21)/3</f>
        <v>29.666666666666668</v>
      </c>
      <c r="H20" s="99">
        <f>G20/4915</f>
        <v>6.0359443879281112E-3</v>
      </c>
      <c r="I20" s="68">
        <f t="shared" si="2"/>
        <v>3</v>
      </c>
      <c r="J20" s="99">
        <v>1.5</v>
      </c>
      <c r="K20" s="68">
        <f t="shared" si="3"/>
        <v>1</v>
      </c>
      <c r="L20" s="70">
        <f t="shared" si="4"/>
        <v>160</v>
      </c>
      <c r="M20" s="89">
        <f t="shared" si="5"/>
        <v>2</v>
      </c>
      <c r="N20" s="87">
        <v>4</v>
      </c>
      <c r="O20" s="88">
        <f t="shared" si="6"/>
        <v>8</v>
      </c>
      <c r="P20" s="89">
        <f t="shared" si="7"/>
        <v>3</v>
      </c>
      <c r="Q20" s="48">
        <v>1.8</v>
      </c>
      <c r="R20" s="89">
        <f t="shared" si="10"/>
        <v>2</v>
      </c>
      <c r="S20" s="47">
        <f t="shared" si="11"/>
        <v>1</v>
      </c>
      <c r="T20" s="114">
        <f t="shared" si="12"/>
        <v>3</v>
      </c>
      <c r="U20" s="53">
        <v>2</v>
      </c>
      <c r="V20" s="53">
        <v>7</v>
      </c>
      <c r="W20" s="53">
        <f t="shared" si="8"/>
        <v>14</v>
      </c>
      <c r="X20" s="138">
        <f t="shared" si="9"/>
        <v>3</v>
      </c>
    </row>
    <row r="21" spans="1:24" ht="15" x14ac:dyDescent="0.2">
      <c r="A21" s="6">
        <v>20</v>
      </c>
      <c r="B21" s="122" t="s">
        <v>30</v>
      </c>
      <c r="C21" s="99">
        <v>185.93</v>
      </c>
      <c r="D21" s="68">
        <f t="shared" si="0"/>
        <v>1</v>
      </c>
      <c r="E21" s="99">
        <v>21.73</v>
      </c>
      <c r="F21" s="68">
        <f t="shared" si="1"/>
        <v>1</v>
      </c>
      <c r="G21" s="103">
        <f>(13+13+10)/3</f>
        <v>12</v>
      </c>
      <c r="H21" s="99">
        <f>G21/3084</f>
        <v>3.8910505836575876E-3</v>
      </c>
      <c r="I21" s="68">
        <f t="shared" si="2"/>
        <v>3</v>
      </c>
      <c r="J21" s="99">
        <v>53.4</v>
      </c>
      <c r="K21" s="68">
        <f t="shared" si="3"/>
        <v>4</v>
      </c>
      <c r="L21" s="70">
        <f t="shared" si="4"/>
        <v>260</v>
      </c>
      <c r="M21" s="89">
        <f t="shared" si="5"/>
        <v>3</v>
      </c>
      <c r="N21" s="87">
        <v>3</v>
      </c>
      <c r="O21" s="88">
        <f t="shared" si="6"/>
        <v>9</v>
      </c>
      <c r="P21" s="89">
        <f t="shared" si="7"/>
        <v>3</v>
      </c>
      <c r="Q21" s="48">
        <v>2</v>
      </c>
      <c r="R21" s="89">
        <f t="shared" si="10"/>
        <v>2</v>
      </c>
      <c r="S21" s="47">
        <f t="shared" si="11"/>
        <v>1</v>
      </c>
      <c r="T21" s="115">
        <f t="shared" si="12"/>
        <v>3</v>
      </c>
      <c r="U21" s="53">
        <v>2</v>
      </c>
      <c r="V21" s="53">
        <v>6</v>
      </c>
      <c r="W21" s="53">
        <f t="shared" si="8"/>
        <v>12</v>
      </c>
      <c r="X21" s="138">
        <f t="shared" si="9"/>
        <v>3</v>
      </c>
    </row>
    <row r="22" spans="1:24" ht="15" x14ac:dyDescent="0.2">
      <c r="A22" s="6">
        <v>21</v>
      </c>
      <c r="B22" s="122" t="s">
        <v>31</v>
      </c>
      <c r="C22" s="99">
        <v>385.9</v>
      </c>
      <c r="D22" s="68">
        <f t="shared" si="0"/>
        <v>1</v>
      </c>
      <c r="E22" s="99">
        <v>7.7</v>
      </c>
      <c r="F22" s="68">
        <f t="shared" si="1"/>
        <v>1</v>
      </c>
      <c r="G22" s="103">
        <f>(1+3+4)/3</f>
        <v>2.6666666666666665</v>
      </c>
      <c r="H22" s="99">
        <f>G22/1797</f>
        <v>1.4839547393804488E-3</v>
      </c>
      <c r="I22" s="68">
        <f t="shared" si="2"/>
        <v>2</v>
      </c>
      <c r="J22" s="99">
        <v>6.7</v>
      </c>
      <c r="K22" s="68">
        <f t="shared" si="3"/>
        <v>1</v>
      </c>
      <c r="L22" s="70">
        <f t="shared" si="4"/>
        <v>120</v>
      </c>
      <c r="M22" s="89">
        <f t="shared" si="5"/>
        <v>1</v>
      </c>
      <c r="N22" s="87">
        <v>2</v>
      </c>
      <c r="O22" s="88">
        <f t="shared" si="6"/>
        <v>2</v>
      </c>
      <c r="P22" s="89">
        <f t="shared" si="7"/>
        <v>1</v>
      </c>
      <c r="Q22" s="48">
        <v>2</v>
      </c>
      <c r="R22" s="89">
        <f t="shared" si="10"/>
        <v>2</v>
      </c>
      <c r="S22" s="47">
        <f t="shared" si="11"/>
        <v>-1</v>
      </c>
      <c r="T22" s="114">
        <f t="shared" si="12"/>
        <v>2</v>
      </c>
      <c r="U22" s="53">
        <v>2</v>
      </c>
      <c r="V22" s="53">
        <v>5</v>
      </c>
      <c r="W22" s="53">
        <f t="shared" si="8"/>
        <v>10</v>
      </c>
      <c r="X22" s="139">
        <f t="shared" si="9"/>
        <v>2</v>
      </c>
    </row>
    <row r="23" spans="1:24" ht="15" x14ac:dyDescent="0.2">
      <c r="A23" s="6">
        <v>22</v>
      </c>
      <c r="B23" s="122" t="s">
        <v>32</v>
      </c>
      <c r="C23" s="99">
        <v>5088.16</v>
      </c>
      <c r="D23" s="68">
        <f t="shared" si="0"/>
        <v>4</v>
      </c>
      <c r="E23" s="99">
        <v>44.1</v>
      </c>
      <c r="F23" s="68">
        <f t="shared" si="1"/>
        <v>2</v>
      </c>
      <c r="G23" s="103">
        <f>(319+304+330)/3</f>
        <v>317.66666666666669</v>
      </c>
      <c r="H23" s="99">
        <f>G23/76672</f>
        <v>4.1431900389538121E-3</v>
      </c>
      <c r="I23" s="68">
        <f t="shared" si="2"/>
        <v>3</v>
      </c>
      <c r="J23" s="99">
        <v>23.9</v>
      </c>
      <c r="K23" s="68">
        <f t="shared" si="3"/>
        <v>2</v>
      </c>
      <c r="L23" s="70">
        <f t="shared" si="4"/>
        <v>260</v>
      </c>
      <c r="M23" s="89">
        <f t="shared" si="5"/>
        <v>3</v>
      </c>
      <c r="N23" s="87">
        <v>3</v>
      </c>
      <c r="O23" s="88">
        <f t="shared" si="6"/>
        <v>9</v>
      </c>
      <c r="P23" s="89">
        <f t="shared" si="7"/>
        <v>3</v>
      </c>
      <c r="Q23" s="48">
        <v>2.6</v>
      </c>
      <c r="R23" s="89">
        <f t="shared" si="10"/>
        <v>3</v>
      </c>
      <c r="S23" s="47">
        <f t="shared" si="11"/>
        <v>0</v>
      </c>
      <c r="T23" s="114">
        <f t="shared" si="12"/>
        <v>2</v>
      </c>
      <c r="U23" s="53">
        <v>2</v>
      </c>
      <c r="V23" s="53">
        <v>7</v>
      </c>
      <c r="W23" s="53">
        <f t="shared" si="8"/>
        <v>14</v>
      </c>
      <c r="X23" s="138">
        <f t="shared" si="9"/>
        <v>3</v>
      </c>
    </row>
    <row r="24" spans="1:24" ht="15" x14ac:dyDescent="0.2">
      <c r="A24" s="6">
        <v>23</v>
      </c>
      <c r="B24" s="122" t="s">
        <v>33</v>
      </c>
      <c r="C24" s="99">
        <v>1104.8599999999999</v>
      </c>
      <c r="D24" s="68">
        <f t="shared" si="0"/>
        <v>3</v>
      </c>
      <c r="E24" s="99">
        <v>106.16670000000001</v>
      </c>
      <c r="F24" s="68">
        <f t="shared" si="1"/>
        <v>4</v>
      </c>
      <c r="G24" s="103">
        <f>(15+14+20)/3</f>
        <v>16.333333333333332</v>
      </c>
      <c r="H24" s="99">
        <f>G24/7164</f>
        <v>2.2799181090638375E-3</v>
      </c>
      <c r="I24" s="68">
        <f t="shared" si="2"/>
        <v>2</v>
      </c>
      <c r="J24" s="99">
        <v>5.9</v>
      </c>
      <c r="K24" s="68">
        <f t="shared" si="3"/>
        <v>1</v>
      </c>
      <c r="L24" s="70">
        <f t="shared" si="4"/>
        <v>220</v>
      </c>
      <c r="M24" s="89">
        <f t="shared" si="5"/>
        <v>2</v>
      </c>
      <c r="N24" s="87">
        <v>3</v>
      </c>
      <c r="O24" s="88">
        <f t="shared" si="6"/>
        <v>6</v>
      </c>
      <c r="P24" s="89">
        <f t="shared" si="7"/>
        <v>3</v>
      </c>
      <c r="Q24" s="48">
        <v>1.4</v>
      </c>
      <c r="R24" s="89">
        <f t="shared" si="10"/>
        <v>1</v>
      </c>
      <c r="S24" s="47">
        <f t="shared" si="11"/>
        <v>2</v>
      </c>
      <c r="T24" s="115">
        <f t="shared" si="12"/>
        <v>4</v>
      </c>
      <c r="U24" s="53">
        <v>2</v>
      </c>
      <c r="V24" s="53">
        <v>7</v>
      </c>
      <c r="W24" s="53">
        <f t="shared" si="8"/>
        <v>14</v>
      </c>
      <c r="X24" s="138">
        <f t="shared" si="9"/>
        <v>3</v>
      </c>
    </row>
    <row r="25" spans="1:24" ht="15" x14ac:dyDescent="0.2">
      <c r="A25" s="6">
        <v>24</v>
      </c>
      <c r="B25" s="122" t="s">
        <v>34</v>
      </c>
      <c r="C25" s="99">
        <v>103.23</v>
      </c>
      <c r="D25" s="68">
        <f t="shared" si="0"/>
        <v>1</v>
      </c>
      <c r="E25" s="99">
        <v>16.559999999999999</v>
      </c>
      <c r="F25" s="68">
        <f t="shared" si="1"/>
        <v>1</v>
      </c>
      <c r="G25" s="103">
        <f>(20+10+5)/3</f>
        <v>11.666666666666666</v>
      </c>
      <c r="H25" s="99">
        <f>G25/2306</f>
        <v>5.0592656837236197E-3</v>
      </c>
      <c r="I25" s="68">
        <f t="shared" si="2"/>
        <v>3</v>
      </c>
      <c r="J25" s="99">
        <v>19.8</v>
      </c>
      <c r="K25" s="68">
        <f t="shared" si="3"/>
        <v>2</v>
      </c>
      <c r="L25" s="70">
        <f t="shared" si="4"/>
        <v>180</v>
      </c>
      <c r="M25" s="89">
        <f t="shared" si="5"/>
        <v>2</v>
      </c>
      <c r="N25" s="87">
        <v>4</v>
      </c>
      <c r="O25" s="88">
        <f t="shared" si="6"/>
        <v>8</v>
      </c>
      <c r="P25" s="89">
        <f t="shared" si="7"/>
        <v>3</v>
      </c>
      <c r="Q25" s="48">
        <v>2.8</v>
      </c>
      <c r="R25" s="89">
        <f t="shared" si="10"/>
        <v>3</v>
      </c>
      <c r="S25" s="47">
        <f t="shared" si="11"/>
        <v>0</v>
      </c>
      <c r="T25" s="114">
        <f t="shared" si="12"/>
        <v>2</v>
      </c>
      <c r="U25" s="53">
        <v>2</v>
      </c>
      <c r="V25" s="53">
        <v>7</v>
      </c>
      <c r="W25" s="53">
        <f t="shared" si="8"/>
        <v>14</v>
      </c>
      <c r="X25" s="138">
        <f t="shared" si="9"/>
        <v>3</v>
      </c>
    </row>
    <row r="26" spans="1:24" ht="15" x14ac:dyDescent="0.2">
      <c r="A26" s="6">
        <v>25</v>
      </c>
      <c r="B26" s="122" t="s">
        <v>35</v>
      </c>
      <c r="C26" s="99">
        <v>844.86</v>
      </c>
      <c r="D26" s="68">
        <f t="shared" si="0"/>
        <v>2</v>
      </c>
      <c r="E26" s="99">
        <v>28.63</v>
      </c>
      <c r="F26" s="68">
        <f t="shared" si="1"/>
        <v>1</v>
      </c>
      <c r="G26" s="103">
        <f>(24+3+16)/3</f>
        <v>14.333333333333334</v>
      </c>
      <c r="H26" s="99">
        <f>G26/10725</f>
        <v>1.3364413364413364E-3</v>
      </c>
      <c r="I26" s="68">
        <f t="shared" si="2"/>
        <v>2</v>
      </c>
      <c r="J26" s="99">
        <v>55.2</v>
      </c>
      <c r="K26" s="68">
        <f t="shared" si="3"/>
        <v>4</v>
      </c>
      <c r="L26" s="70">
        <f t="shared" si="4"/>
        <v>260</v>
      </c>
      <c r="M26" s="89">
        <f t="shared" si="5"/>
        <v>3</v>
      </c>
      <c r="N26" s="87">
        <v>1</v>
      </c>
      <c r="O26" s="88">
        <f t="shared" si="6"/>
        <v>3</v>
      </c>
      <c r="P26" s="89">
        <f t="shared" si="7"/>
        <v>2</v>
      </c>
      <c r="Q26" s="48">
        <v>2</v>
      </c>
      <c r="R26" s="89">
        <f t="shared" si="10"/>
        <v>2</v>
      </c>
      <c r="S26" s="47">
        <f t="shared" si="11"/>
        <v>0</v>
      </c>
      <c r="T26" s="114">
        <f t="shared" si="12"/>
        <v>2</v>
      </c>
      <c r="U26" s="53">
        <v>2</v>
      </c>
      <c r="V26" s="53">
        <v>5</v>
      </c>
      <c r="W26" s="53">
        <f t="shared" si="8"/>
        <v>10</v>
      </c>
      <c r="X26" s="139">
        <f t="shared" si="9"/>
        <v>2</v>
      </c>
    </row>
    <row r="27" spans="1:24" ht="15.75" thickBot="1" x14ac:dyDescent="0.25">
      <c r="A27" s="7">
        <v>26</v>
      </c>
      <c r="B27" s="124" t="s">
        <v>36</v>
      </c>
      <c r="C27" s="100">
        <v>3570.4</v>
      </c>
      <c r="D27" s="77">
        <f t="shared" si="0"/>
        <v>3</v>
      </c>
      <c r="E27" s="100">
        <v>28.66</v>
      </c>
      <c r="F27" s="77">
        <f t="shared" si="1"/>
        <v>1</v>
      </c>
      <c r="G27" s="104">
        <f>(17+27+18)/3</f>
        <v>20.666666666666668</v>
      </c>
      <c r="H27" s="100">
        <f>G27/3459</f>
        <v>5.9747518550640841E-3</v>
      </c>
      <c r="I27" s="77">
        <f t="shared" si="2"/>
        <v>3</v>
      </c>
      <c r="J27" s="100">
        <v>0.1</v>
      </c>
      <c r="K27" s="77">
        <f t="shared" si="3"/>
        <v>1</v>
      </c>
      <c r="L27" s="70">
        <f t="shared" si="4"/>
        <v>180</v>
      </c>
      <c r="M27" s="90">
        <f t="shared" si="5"/>
        <v>2</v>
      </c>
      <c r="N27" s="87">
        <v>2</v>
      </c>
      <c r="O27" s="88">
        <f t="shared" si="6"/>
        <v>4</v>
      </c>
      <c r="P27" s="90">
        <f t="shared" si="7"/>
        <v>2</v>
      </c>
      <c r="Q27" s="48">
        <v>1.4</v>
      </c>
      <c r="R27" s="90">
        <f t="shared" si="10"/>
        <v>1</v>
      </c>
      <c r="S27" s="47">
        <f t="shared" si="11"/>
        <v>1</v>
      </c>
      <c r="T27" s="114">
        <f t="shared" si="12"/>
        <v>3</v>
      </c>
      <c r="U27" s="53">
        <v>2</v>
      </c>
      <c r="V27" s="53">
        <v>5</v>
      </c>
      <c r="W27" s="53">
        <f t="shared" si="8"/>
        <v>10</v>
      </c>
      <c r="X27" s="139">
        <f t="shared" si="9"/>
        <v>2</v>
      </c>
    </row>
  </sheetData>
  <sortState xmlns:xlrd2="http://schemas.microsoft.com/office/spreadsheetml/2017/richdata2" ref="A2:X27">
    <sortCondition ref="A2:A27"/>
  </sortState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6D33D-AFD9-4D92-9BB9-7F863EA1FDDA}">
  <dimension ref="A1:X27"/>
  <sheetViews>
    <sheetView zoomScale="90" zoomScaleNormal="90" workbookViewId="0">
      <pane xSplit="2" ySplit="1" topLeftCell="M2" activePane="bottomRight" state="frozen"/>
      <selection pane="topRight" activeCell="C1" sqref="C1"/>
      <selection pane="bottomLeft" activeCell="A2" sqref="A2"/>
      <selection pane="bottomRight" activeCell="P11" sqref="P11"/>
    </sheetView>
  </sheetViews>
  <sheetFormatPr defaultColWidth="8.7109375" defaultRowHeight="14.25" x14ac:dyDescent="0.2"/>
  <cols>
    <col min="1" max="1" width="8.7109375" style="1"/>
    <col min="2" max="2" width="23" style="1" bestFit="1" customWidth="1"/>
    <col min="3" max="7" width="25.140625" style="1" customWidth="1"/>
    <col min="8" max="9" width="17.5703125" style="1" customWidth="1"/>
    <col min="10" max="10" width="21.85546875" style="1" customWidth="1"/>
    <col min="11" max="12" width="17.5703125" style="1" customWidth="1"/>
    <col min="13" max="13" width="15.42578125" style="2" customWidth="1"/>
    <col min="14" max="14" width="21.28515625" style="2" customWidth="1"/>
    <col min="15" max="15" width="15.7109375" style="2" customWidth="1"/>
    <col min="16" max="16" width="16" style="2" customWidth="1"/>
    <col min="17" max="18" width="18.5703125" style="2" customWidth="1"/>
    <col min="19" max="19" width="16.85546875" style="2" customWidth="1"/>
    <col min="20" max="20" width="15.140625" style="2" customWidth="1"/>
    <col min="21" max="21" width="17.5703125" style="2" customWidth="1"/>
    <col min="22" max="22" width="16.85546875" style="2" customWidth="1"/>
    <col min="23" max="23" width="16.28515625" style="2" customWidth="1"/>
    <col min="24" max="24" width="16.42578125" style="1" customWidth="1"/>
    <col min="25" max="16384" width="8.7109375" style="1"/>
  </cols>
  <sheetData>
    <row r="1" spans="1:24" ht="96" customHeight="1" x14ac:dyDescent="0.2">
      <c r="A1" s="34" t="s">
        <v>0</v>
      </c>
      <c r="B1" s="36" t="s">
        <v>1</v>
      </c>
      <c r="C1" s="34" t="s">
        <v>57</v>
      </c>
      <c r="D1" s="36" t="s">
        <v>45</v>
      </c>
      <c r="E1" s="34" t="s">
        <v>55</v>
      </c>
      <c r="F1" s="101" t="s">
        <v>47</v>
      </c>
      <c r="G1" s="102" t="s">
        <v>44</v>
      </c>
      <c r="H1" s="34" t="s">
        <v>56</v>
      </c>
      <c r="I1" s="36" t="s">
        <v>49</v>
      </c>
      <c r="J1" s="34" t="s">
        <v>40</v>
      </c>
      <c r="K1" s="36" t="s">
        <v>58</v>
      </c>
      <c r="L1" s="41" t="s">
        <v>59</v>
      </c>
      <c r="M1" s="39" t="s">
        <v>2</v>
      </c>
      <c r="N1" s="40" t="s">
        <v>3</v>
      </c>
      <c r="O1" s="38" t="s">
        <v>4</v>
      </c>
      <c r="P1" s="39" t="s">
        <v>5</v>
      </c>
      <c r="Q1" s="41" t="s">
        <v>54</v>
      </c>
      <c r="R1" s="39" t="s">
        <v>6</v>
      </c>
      <c r="S1" s="41" t="s">
        <v>7</v>
      </c>
      <c r="T1" s="39" t="s">
        <v>8</v>
      </c>
      <c r="U1" s="40" t="s">
        <v>9</v>
      </c>
      <c r="V1" s="40" t="s">
        <v>10</v>
      </c>
      <c r="W1" s="40" t="s">
        <v>11</v>
      </c>
      <c r="X1" s="40" t="s">
        <v>12</v>
      </c>
    </row>
    <row r="2" spans="1:24" ht="15" x14ac:dyDescent="0.2">
      <c r="A2" s="117">
        <v>1</v>
      </c>
      <c r="B2" s="119" t="s">
        <v>13</v>
      </c>
      <c r="C2" s="67">
        <f>(1262.5+1103.7+1153.6)/3</f>
        <v>1173.2666666666667</v>
      </c>
      <c r="D2" s="68">
        <f t="shared" ref="D2:D27" si="0">IF(C2&lt;422,1,IF(C2&lt;1000,2,IF(C2&lt;3600,3,4)))</f>
        <v>3</v>
      </c>
      <c r="E2" s="99">
        <v>73.900000000000006</v>
      </c>
      <c r="F2" s="68">
        <f t="shared" ref="F2:F27" si="1">IF(E2&lt;30,1,IF(E2&lt;52,2,IF(E2&lt;92,3,4)))</f>
        <v>3</v>
      </c>
      <c r="G2" s="103">
        <f>(19+16+47)/3</f>
        <v>27.333333333333332</v>
      </c>
      <c r="H2" s="99">
        <f>G2/((17133+17052)/2)</f>
        <v>1.5991419238457413E-3</v>
      </c>
      <c r="I2" s="68">
        <f t="shared" ref="I2:I27" si="2">IF(H2&lt;0.001,1,IF(H2&lt;0.003,2,IF(H2&lt;0.007,3,4)))</f>
        <v>2</v>
      </c>
      <c r="J2" s="99">
        <v>25.1</v>
      </c>
      <c r="K2" s="68">
        <f t="shared" ref="K2:K27" si="3">IF(J2&lt;14,1,IF(J2&lt;30,2,IF(J2&lt;50,3,4)))</f>
        <v>2</v>
      </c>
      <c r="L2" s="70">
        <f t="shared" ref="L2:L27" si="4">((D2*20)+(F2*20)+(I2*20)+(K2*40)/100%)</f>
        <v>240</v>
      </c>
      <c r="M2" s="89">
        <f t="shared" ref="M2:M27" si="5">IF(L2&lt;160,1,IF(L2&lt;230,2,IF(L2&lt;300,3,4)))</f>
        <v>3</v>
      </c>
      <c r="N2" s="87">
        <v>2</v>
      </c>
      <c r="O2" s="88">
        <f t="shared" ref="O2:O27" si="6">M2*N2</f>
        <v>6</v>
      </c>
      <c r="P2" s="89">
        <f t="shared" ref="P2:P27" si="7">IF(O2&lt;3,1,IF(O2&lt;5,2,IF(O2&lt;12,3,4)))</f>
        <v>3</v>
      </c>
      <c r="Q2" s="48">
        <v>1.4</v>
      </c>
      <c r="R2" s="89">
        <f>IF(Q2&lt;1.5,1,IF(Q2&lt;2.5,2,IF(Q2&lt;3.3,3,4)))</f>
        <v>1</v>
      </c>
      <c r="S2" s="92">
        <f>P2-R2</f>
        <v>2</v>
      </c>
      <c r="T2" s="96">
        <f>IF(S2&lt;-1,1,IF(S2&lt;1,2,IF(S2=1,3,4)))</f>
        <v>4</v>
      </c>
      <c r="U2" s="53">
        <v>1</v>
      </c>
      <c r="V2" s="53">
        <v>6</v>
      </c>
      <c r="W2" s="53">
        <f>U2*V2</f>
        <v>6</v>
      </c>
      <c r="X2" s="139">
        <f>IF(W2&lt;6,1,IF(W2&lt;12,2,IF(W2&lt;18,3,4)))</f>
        <v>2</v>
      </c>
    </row>
    <row r="3" spans="1:24" ht="15" x14ac:dyDescent="0.2">
      <c r="A3" s="117">
        <v>2</v>
      </c>
      <c r="B3" s="119" t="s">
        <v>14</v>
      </c>
      <c r="C3" s="99">
        <v>187.8</v>
      </c>
      <c r="D3" s="68">
        <f t="shared" si="0"/>
        <v>1</v>
      </c>
      <c r="E3" s="99">
        <v>27.4</v>
      </c>
      <c r="F3" s="68">
        <f t="shared" si="1"/>
        <v>1</v>
      </c>
      <c r="G3" s="103">
        <f>(9+4+7)/3</f>
        <v>6.666666666666667</v>
      </c>
      <c r="H3" s="99">
        <f>G3/2770</f>
        <v>2.4067388688327317E-3</v>
      </c>
      <c r="I3" s="68">
        <f t="shared" si="2"/>
        <v>2</v>
      </c>
      <c r="J3" s="99">
        <v>46</v>
      </c>
      <c r="K3" s="68">
        <f t="shared" si="3"/>
        <v>3</v>
      </c>
      <c r="L3" s="70">
        <f t="shared" si="4"/>
        <v>200</v>
      </c>
      <c r="M3" s="89">
        <f t="shared" si="5"/>
        <v>2</v>
      </c>
      <c r="N3" s="87">
        <v>1</v>
      </c>
      <c r="O3" s="88">
        <f t="shared" si="6"/>
        <v>2</v>
      </c>
      <c r="P3" s="89">
        <f t="shared" si="7"/>
        <v>1</v>
      </c>
      <c r="Q3" s="48">
        <v>1.8</v>
      </c>
      <c r="R3" s="89">
        <f>IF(Q3&lt;1.5,1,IF(Q3&lt;2.5,2,IF(Q3&lt;3.3,3,4)))</f>
        <v>2</v>
      </c>
      <c r="S3" s="92">
        <f t="shared" ref="S3:S27" si="8">P3-R3</f>
        <v>-1</v>
      </c>
      <c r="T3" s="93">
        <f>IF(S3&lt;-1,1,IF(S3&lt;1,2,IF(S3=1,3,4)))</f>
        <v>2</v>
      </c>
      <c r="U3" s="53">
        <v>1</v>
      </c>
      <c r="V3" s="53">
        <v>6</v>
      </c>
      <c r="W3" s="53">
        <f t="shared" ref="W3:W27" si="9">U3*V3</f>
        <v>6</v>
      </c>
      <c r="X3" s="139">
        <f t="shared" ref="X3:X27" si="10">IF(W3&lt;6,1,IF(W3&lt;12,2,IF(W3&lt;18,3,4)))</f>
        <v>2</v>
      </c>
    </row>
    <row r="4" spans="1:24" ht="25.5" x14ac:dyDescent="0.2">
      <c r="A4" s="117">
        <v>3</v>
      </c>
      <c r="B4" s="120" t="s">
        <v>41</v>
      </c>
      <c r="C4" s="99">
        <v>882.76</v>
      </c>
      <c r="D4" s="68">
        <f t="shared" si="0"/>
        <v>2</v>
      </c>
      <c r="E4" s="99">
        <v>38.630000000000003</v>
      </c>
      <c r="F4" s="68">
        <f t="shared" si="1"/>
        <v>2</v>
      </c>
      <c r="G4" s="103">
        <f>(48+43+44)/3</f>
        <v>45</v>
      </c>
      <c r="H4" s="99">
        <f>G4/15236</f>
        <v>2.9535311105276974E-3</v>
      </c>
      <c r="I4" s="68">
        <f t="shared" si="2"/>
        <v>2</v>
      </c>
      <c r="J4" s="99">
        <v>27.8</v>
      </c>
      <c r="K4" s="68">
        <f t="shared" si="3"/>
        <v>2</v>
      </c>
      <c r="L4" s="70">
        <f t="shared" si="4"/>
        <v>200</v>
      </c>
      <c r="M4" s="89">
        <f t="shared" si="5"/>
        <v>2</v>
      </c>
      <c r="N4" s="87">
        <v>2</v>
      </c>
      <c r="O4" s="88">
        <f t="shared" si="6"/>
        <v>4</v>
      </c>
      <c r="P4" s="89">
        <f t="shared" si="7"/>
        <v>2</v>
      </c>
      <c r="Q4" s="48">
        <v>3.8</v>
      </c>
      <c r="R4" s="89">
        <f>IF(Q4&lt;1.5,1,IF(Q4&lt;2.5,2,IF(Q4&lt;3.3,3,4)))</f>
        <v>4</v>
      </c>
      <c r="S4" s="92">
        <f t="shared" si="8"/>
        <v>-2</v>
      </c>
      <c r="T4" s="93">
        <f>IF(S4&lt;-1,1,IF(S4&lt;1,2,IF(S4=1,3,4)))</f>
        <v>1</v>
      </c>
      <c r="U4" s="53">
        <v>1</v>
      </c>
      <c r="V4" s="53">
        <v>6</v>
      </c>
      <c r="W4" s="53">
        <f t="shared" si="9"/>
        <v>6</v>
      </c>
      <c r="X4" s="139">
        <f t="shared" si="10"/>
        <v>2</v>
      </c>
    </row>
    <row r="5" spans="1:24" ht="15" x14ac:dyDescent="0.2">
      <c r="A5" s="117">
        <v>4</v>
      </c>
      <c r="B5" s="119" t="s">
        <v>15</v>
      </c>
      <c r="C5" s="99">
        <v>359.23</v>
      </c>
      <c r="D5" s="68">
        <f t="shared" si="0"/>
        <v>1</v>
      </c>
      <c r="E5" s="99">
        <v>87.78</v>
      </c>
      <c r="F5" s="68">
        <f t="shared" si="1"/>
        <v>3</v>
      </c>
      <c r="G5" s="103">
        <f>(9+12+10)/3</f>
        <v>10.333333333333334</v>
      </c>
      <c r="H5" s="99">
        <f>G5/3563</f>
        <v>2.9001777528300122E-3</v>
      </c>
      <c r="I5" s="68">
        <f t="shared" si="2"/>
        <v>2</v>
      </c>
      <c r="J5" s="99">
        <v>13.4</v>
      </c>
      <c r="K5" s="68">
        <f t="shared" si="3"/>
        <v>1</v>
      </c>
      <c r="L5" s="70">
        <f t="shared" si="4"/>
        <v>160</v>
      </c>
      <c r="M5" s="89">
        <f t="shared" si="5"/>
        <v>2</v>
      </c>
      <c r="N5" s="87">
        <v>1</v>
      </c>
      <c r="O5" s="88">
        <f t="shared" si="6"/>
        <v>2</v>
      </c>
      <c r="P5" s="89">
        <f t="shared" si="7"/>
        <v>1</v>
      </c>
      <c r="Q5" s="48">
        <v>2.4</v>
      </c>
      <c r="R5" s="89">
        <f>IF(Q5&lt;1.5,1,IF(Q5&lt;2.5,2,IF(Q5&lt;3.3,3,4)))</f>
        <v>2</v>
      </c>
      <c r="S5" s="92">
        <f t="shared" si="8"/>
        <v>-1</v>
      </c>
      <c r="T5" s="93">
        <f>IF(S5&lt;-1,1,IF(S5&lt;1,2,IF(S5=1,3,4)))</f>
        <v>2</v>
      </c>
      <c r="U5" s="53">
        <v>1</v>
      </c>
      <c r="V5" s="53">
        <v>6</v>
      </c>
      <c r="W5" s="53">
        <f t="shared" si="9"/>
        <v>6</v>
      </c>
      <c r="X5" s="139">
        <f t="shared" si="10"/>
        <v>2</v>
      </c>
    </row>
    <row r="6" spans="1:24" ht="15" x14ac:dyDescent="0.2">
      <c r="A6" s="117">
        <v>5</v>
      </c>
      <c r="B6" s="119" t="s">
        <v>16</v>
      </c>
      <c r="C6" s="99">
        <v>2160.2600000000002</v>
      </c>
      <c r="D6" s="68">
        <f t="shared" si="0"/>
        <v>3</v>
      </c>
      <c r="E6" s="99">
        <v>189.36</v>
      </c>
      <c r="F6" s="68">
        <f t="shared" si="1"/>
        <v>4</v>
      </c>
      <c r="G6" s="103">
        <f>(49+42+49)/3</f>
        <v>46.666666666666664</v>
      </c>
      <c r="H6" s="99">
        <f>G6/7889</f>
        <v>5.9154096421177166E-3</v>
      </c>
      <c r="I6" s="68">
        <f t="shared" si="2"/>
        <v>3</v>
      </c>
      <c r="J6" s="99">
        <v>62.8</v>
      </c>
      <c r="K6" s="68">
        <f t="shared" si="3"/>
        <v>4</v>
      </c>
      <c r="L6" s="70">
        <f t="shared" si="4"/>
        <v>360</v>
      </c>
      <c r="M6" s="89">
        <f t="shared" si="5"/>
        <v>4</v>
      </c>
      <c r="N6" s="87">
        <v>1</v>
      </c>
      <c r="O6" s="88">
        <f t="shared" si="6"/>
        <v>4</v>
      </c>
      <c r="P6" s="89">
        <f t="shared" si="7"/>
        <v>2</v>
      </c>
      <c r="Q6" s="48" t="s">
        <v>37</v>
      </c>
      <c r="R6" s="89" t="s">
        <v>37</v>
      </c>
      <c r="S6" s="41" t="s">
        <v>37</v>
      </c>
      <c r="T6" s="95">
        <f>P6</f>
        <v>2</v>
      </c>
      <c r="U6" s="53">
        <v>1</v>
      </c>
      <c r="V6" s="53">
        <v>6</v>
      </c>
      <c r="W6" s="53">
        <f t="shared" si="9"/>
        <v>6</v>
      </c>
      <c r="X6" s="139">
        <f t="shared" si="10"/>
        <v>2</v>
      </c>
    </row>
    <row r="7" spans="1:24" ht="15" x14ac:dyDescent="0.2">
      <c r="A7" s="117">
        <v>6</v>
      </c>
      <c r="B7" s="119" t="s">
        <v>17</v>
      </c>
      <c r="C7" s="99">
        <v>229.63</v>
      </c>
      <c r="D7" s="68">
        <f t="shared" si="0"/>
        <v>1</v>
      </c>
      <c r="E7" s="99">
        <v>21.66</v>
      </c>
      <c r="F7" s="68">
        <f t="shared" si="1"/>
        <v>1</v>
      </c>
      <c r="G7" s="103">
        <f>(28+39+41)/3</f>
        <v>36</v>
      </c>
      <c r="H7" s="99">
        <f>G7/7187</f>
        <v>5.0090441074161678E-3</v>
      </c>
      <c r="I7" s="68">
        <f t="shared" si="2"/>
        <v>3</v>
      </c>
      <c r="J7" s="99">
        <v>13.3</v>
      </c>
      <c r="K7" s="68">
        <f t="shared" si="3"/>
        <v>1</v>
      </c>
      <c r="L7" s="70">
        <f t="shared" si="4"/>
        <v>140</v>
      </c>
      <c r="M7" s="89">
        <f t="shared" si="5"/>
        <v>1</v>
      </c>
      <c r="N7" s="87">
        <v>1</v>
      </c>
      <c r="O7" s="88">
        <f t="shared" si="6"/>
        <v>1</v>
      </c>
      <c r="P7" s="89">
        <f t="shared" si="7"/>
        <v>1</v>
      </c>
      <c r="Q7" s="48">
        <v>1.4</v>
      </c>
      <c r="R7" s="89">
        <f t="shared" ref="R7:R27" si="11">IF(Q7&lt;1.5,1,IF(Q7&lt;2.5,2,IF(Q7&lt;3.3,3,4)))</f>
        <v>1</v>
      </c>
      <c r="S7" s="92">
        <f t="shared" si="8"/>
        <v>0</v>
      </c>
      <c r="T7" s="95">
        <f t="shared" ref="T7:T27" si="12">IF(S7&lt;-1,1,IF(S7&lt;1,2,IF(S7=1,3,4)))</f>
        <v>2</v>
      </c>
      <c r="U7" s="53">
        <v>1</v>
      </c>
      <c r="V7" s="53">
        <v>6</v>
      </c>
      <c r="W7" s="53">
        <f t="shared" si="9"/>
        <v>6</v>
      </c>
      <c r="X7" s="139">
        <f t="shared" si="10"/>
        <v>2</v>
      </c>
    </row>
    <row r="8" spans="1:24" ht="15" x14ac:dyDescent="0.2">
      <c r="A8" s="117">
        <v>7</v>
      </c>
      <c r="B8" s="119" t="s">
        <v>18</v>
      </c>
      <c r="C8" s="67">
        <v>846.36666666666667</v>
      </c>
      <c r="D8" s="68">
        <f t="shared" si="0"/>
        <v>2</v>
      </c>
      <c r="E8" s="99">
        <v>76.900000000000006</v>
      </c>
      <c r="F8" s="68">
        <f t="shared" si="1"/>
        <v>3</v>
      </c>
      <c r="G8" s="103">
        <v>39</v>
      </c>
      <c r="H8" s="99">
        <f>G8/6331</f>
        <v>6.1601642710472282E-3</v>
      </c>
      <c r="I8" s="68">
        <f t="shared" si="2"/>
        <v>3</v>
      </c>
      <c r="J8" s="99">
        <v>42.7</v>
      </c>
      <c r="K8" s="68">
        <f t="shared" si="3"/>
        <v>3</v>
      </c>
      <c r="L8" s="70">
        <f t="shared" si="4"/>
        <v>280</v>
      </c>
      <c r="M8" s="89">
        <f t="shared" si="5"/>
        <v>3</v>
      </c>
      <c r="N8" s="87">
        <v>1</v>
      </c>
      <c r="O8" s="88">
        <f t="shared" si="6"/>
        <v>3</v>
      </c>
      <c r="P8" s="89">
        <f t="shared" si="7"/>
        <v>2</v>
      </c>
      <c r="Q8" s="48">
        <v>1.2</v>
      </c>
      <c r="R8" s="89">
        <f t="shared" si="11"/>
        <v>1</v>
      </c>
      <c r="S8" s="92">
        <f t="shared" si="8"/>
        <v>1</v>
      </c>
      <c r="T8" s="95">
        <f t="shared" si="12"/>
        <v>3</v>
      </c>
      <c r="U8" s="53">
        <v>1</v>
      </c>
      <c r="V8" s="53">
        <v>6</v>
      </c>
      <c r="W8" s="53">
        <f t="shared" si="9"/>
        <v>6</v>
      </c>
      <c r="X8" s="139">
        <f t="shared" si="10"/>
        <v>2</v>
      </c>
    </row>
    <row r="9" spans="1:24" ht="15" x14ac:dyDescent="0.2">
      <c r="A9" s="117">
        <v>8</v>
      </c>
      <c r="B9" s="119" t="s">
        <v>19</v>
      </c>
      <c r="C9" s="99">
        <v>977</v>
      </c>
      <c r="D9" s="68">
        <f t="shared" si="0"/>
        <v>2</v>
      </c>
      <c r="E9" s="99">
        <v>126.3</v>
      </c>
      <c r="F9" s="68">
        <f t="shared" si="1"/>
        <v>4</v>
      </c>
      <c r="G9" s="103">
        <f>(26+10+12)/3</f>
        <v>16</v>
      </c>
      <c r="H9" s="99">
        <f>G9/4502</f>
        <v>3.5539760106619279E-3</v>
      </c>
      <c r="I9" s="68">
        <f t="shared" si="2"/>
        <v>3</v>
      </c>
      <c r="J9" s="99">
        <v>51.8</v>
      </c>
      <c r="K9" s="68">
        <f t="shared" si="3"/>
        <v>4</v>
      </c>
      <c r="L9" s="70">
        <f t="shared" si="4"/>
        <v>340</v>
      </c>
      <c r="M9" s="89">
        <f t="shared" si="5"/>
        <v>4</v>
      </c>
      <c r="N9" s="87">
        <v>1</v>
      </c>
      <c r="O9" s="88">
        <f t="shared" si="6"/>
        <v>4</v>
      </c>
      <c r="P9" s="89">
        <f t="shared" si="7"/>
        <v>2</v>
      </c>
      <c r="Q9" s="48">
        <v>3</v>
      </c>
      <c r="R9" s="89">
        <f t="shared" si="11"/>
        <v>3</v>
      </c>
      <c r="S9" s="92">
        <f t="shared" si="8"/>
        <v>-1</v>
      </c>
      <c r="T9" s="93">
        <f t="shared" si="12"/>
        <v>2</v>
      </c>
      <c r="U9" s="53">
        <v>1</v>
      </c>
      <c r="V9" s="53">
        <v>6</v>
      </c>
      <c r="W9" s="53">
        <f t="shared" si="9"/>
        <v>6</v>
      </c>
      <c r="X9" s="139">
        <f t="shared" si="10"/>
        <v>2</v>
      </c>
    </row>
    <row r="10" spans="1:24" ht="15" x14ac:dyDescent="0.2">
      <c r="A10" s="117">
        <v>9</v>
      </c>
      <c r="B10" s="119" t="s">
        <v>20</v>
      </c>
      <c r="C10" s="99">
        <v>104.5</v>
      </c>
      <c r="D10" s="68">
        <f t="shared" si="0"/>
        <v>1</v>
      </c>
      <c r="E10" s="99">
        <v>13.13</v>
      </c>
      <c r="F10" s="68">
        <f t="shared" si="1"/>
        <v>1</v>
      </c>
      <c r="G10" s="103">
        <f>(9+3+6)/3</f>
        <v>6</v>
      </c>
      <c r="H10" s="99">
        <f>G10/2407</f>
        <v>2.4927295388450354E-3</v>
      </c>
      <c r="I10" s="68">
        <f t="shared" si="2"/>
        <v>2</v>
      </c>
      <c r="J10" s="99">
        <v>23</v>
      </c>
      <c r="K10" s="68">
        <f t="shared" si="3"/>
        <v>2</v>
      </c>
      <c r="L10" s="70">
        <f t="shared" si="4"/>
        <v>160</v>
      </c>
      <c r="M10" s="89">
        <f t="shared" si="5"/>
        <v>2</v>
      </c>
      <c r="N10" s="87">
        <v>1</v>
      </c>
      <c r="O10" s="88">
        <f t="shared" si="6"/>
        <v>2</v>
      </c>
      <c r="P10" s="89">
        <f t="shared" si="7"/>
        <v>1</v>
      </c>
      <c r="Q10" s="48">
        <v>1.4</v>
      </c>
      <c r="R10" s="89">
        <f t="shared" si="11"/>
        <v>1</v>
      </c>
      <c r="S10" s="92">
        <f t="shared" si="8"/>
        <v>0</v>
      </c>
      <c r="T10" s="95">
        <f t="shared" si="12"/>
        <v>2</v>
      </c>
      <c r="U10" s="53">
        <v>1</v>
      </c>
      <c r="V10" s="53">
        <v>6</v>
      </c>
      <c r="W10" s="53">
        <f t="shared" si="9"/>
        <v>6</v>
      </c>
      <c r="X10" s="139">
        <f t="shared" si="10"/>
        <v>2</v>
      </c>
    </row>
    <row r="11" spans="1:24" ht="15" x14ac:dyDescent="0.2">
      <c r="A11" s="117">
        <v>10</v>
      </c>
      <c r="B11" s="119" t="s">
        <v>21</v>
      </c>
      <c r="C11" s="99">
        <v>236.6</v>
      </c>
      <c r="D11" s="68">
        <f t="shared" si="0"/>
        <v>1</v>
      </c>
      <c r="E11" s="99">
        <v>42.7</v>
      </c>
      <c r="F11" s="68">
        <f t="shared" si="1"/>
        <v>2</v>
      </c>
      <c r="G11" s="103">
        <f>(6+8+6)/3</f>
        <v>6.666666666666667</v>
      </c>
      <c r="H11" s="99">
        <f>G11/4486</f>
        <v>1.486104919007282E-3</v>
      </c>
      <c r="I11" s="68">
        <f t="shared" si="2"/>
        <v>2</v>
      </c>
      <c r="J11" s="99">
        <v>12.9</v>
      </c>
      <c r="K11" s="68">
        <f t="shared" si="3"/>
        <v>1</v>
      </c>
      <c r="L11" s="70">
        <f t="shared" si="4"/>
        <v>140</v>
      </c>
      <c r="M11" s="89">
        <f t="shared" si="5"/>
        <v>1</v>
      </c>
      <c r="N11" s="87">
        <v>2</v>
      </c>
      <c r="O11" s="88">
        <f t="shared" si="6"/>
        <v>2</v>
      </c>
      <c r="P11" s="89">
        <f t="shared" si="7"/>
        <v>1</v>
      </c>
      <c r="Q11" s="48">
        <v>2.2000000000000002</v>
      </c>
      <c r="R11" s="89">
        <f t="shared" si="11"/>
        <v>2</v>
      </c>
      <c r="S11" s="92">
        <f t="shared" si="8"/>
        <v>-1</v>
      </c>
      <c r="T11" s="93">
        <f t="shared" si="12"/>
        <v>2</v>
      </c>
      <c r="U11" s="53">
        <v>1</v>
      </c>
      <c r="V11" s="53">
        <v>6</v>
      </c>
      <c r="W11" s="53">
        <f t="shared" si="9"/>
        <v>6</v>
      </c>
      <c r="X11" s="139">
        <f t="shared" si="10"/>
        <v>2</v>
      </c>
    </row>
    <row r="12" spans="1:24" ht="15" x14ac:dyDescent="0.2">
      <c r="A12" s="117">
        <v>11</v>
      </c>
      <c r="B12" s="119" t="s">
        <v>22</v>
      </c>
      <c r="C12" s="99">
        <v>180</v>
      </c>
      <c r="D12" s="68">
        <f t="shared" si="0"/>
        <v>1</v>
      </c>
      <c r="E12" s="99">
        <v>15.83</v>
      </c>
      <c r="F12" s="68">
        <f t="shared" si="1"/>
        <v>1</v>
      </c>
      <c r="G12" s="103">
        <f>(7+4)/2</f>
        <v>5.5</v>
      </c>
      <c r="H12" s="99">
        <f>G12/2234</f>
        <v>2.4619516562220233E-3</v>
      </c>
      <c r="I12" s="68">
        <f t="shared" si="2"/>
        <v>2</v>
      </c>
      <c r="J12" s="99">
        <v>18.5</v>
      </c>
      <c r="K12" s="68">
        <f t="shared" si="3"/>
        <v>2</v>
      </c>
      <c r="L12" s="70">
        <f t="shared" si="4"/>
        <v>160</v>
      </c>
      <c r="M12" s="89">
        <f t="shared" si="5"/>
        <v>2</v>
      </c>
      <c r="N12" s="87">
        <v>2</v>
      </c>
      <c r="O12" s="88">
        <f t="shared" si="6"/>
        <v>4</v>
      </c>
      <c r="P12" s="89">
        <f t="shared" si="7"/>
        <v>2</v>
      </c>
      <c r="Q12" s="48">
        <v>2.6</v>
      </c>
      <c r="R12" s="89">
        <f t="shared" si="11"/>
        <v>3</v>
      </c>
      <c r="S12" s="92">
        <f t="shared" si="8"/>
        <v>-1</v>
      </c>
      <c r="T12" s="95">
        <f t="shared" si="12"/>
        <v>2</v>
      </c>
      <c r="U12" s="53">
        <v>1</v>
      </c>
      <c r="V12" s="53">
        <v>6</v>
      </c>
      <c r="W12" s="53">
        <f t="shared" si="9"/>
        <v>6</v>
      </c>
      <c r="X12" s="139">
        <f t="shared" si="10"/>
        <v>2</v>
      </c>
    </row>
    <row r="13" spans="1:24" ht="15" x14ac:dyDescent="0.2">
      <c r="A13" s="117">
        <v>12</v>
      </c>
      <c r="B13" s="119" t="s">
        <v>42</v>
      </c>
      <c r="C13" s="99">
        <v>422.86</v>
      </c>
      <c r="D13" s="68">
        <f t="shared" si="0"/>
        <v>2</v>
      </c>
      <c r="E13" s="99">
        <v>34.96</v>
      </c>
      <c r="F13" s="68">
        <f t="shared" si="1"/>
        <v>2</v>
      </c>
      <c r="G13" s="103">
        <f>(82+93+47)/3</f>
        <v>74</v>
      </c>
      <c r="H13" s="99">
        <f>G13/7006</f>
        <v>1.0562375107051099E-2</v>
      </c>
      <c r="I13" s="68">
        <f t="shared" si="2"/>
        <v>4</v>
      </c>
      <c r="J13" s="99">
        <v>28.9</v>
      </c>
      <c r="K13" s="68">
        <f t="shared" si="3"/>
        <v>2</v>
      </c>
      <c r="L13" s="70">
        <f t="shared" si="4"/>
        <v>240</v>
      </c>
      <c r="M13" s="89">
        <f t="shared" si="5"/>
        <v>3</v>
      </c>
      <c r="N13" s="87">
        <v>2</v>
      </c>
      <c r="O13" s="88">
        <f t="shared" si="6"/>
        <v>6</v>
      </c>
      <c r="P13" s="89">
        <f t="shared" si="7"/>
        <v>3</v>
      </c>
      <c r="Q13" s="48">
        <v>1.4</v>
      </c>
      <c r="R13" s="89">
        <f t="shared" si="11"/>
        <v>1</v>
      </c>
      <c r="S13" s="92">
        <f t="shared" si="8"/>
        <v>2</v>
      </c>
      <c r="T13" s="96">
        <f t="shared" si="12"/>
        <v>4</v>
      </c>
      <c r="U13" s="53">
        <v>1</v>
      </c>
      <c r="V13" s="53">
        <v>6</v>
      </c>
      <c r="W13" s="53">
        <f t="shared" si="9"/>
        <v>6</v>
      </c>
      <c r="X13" s="139">
        <f t="shared" si="10"/>
        <v>2</v>
      </c>
    </row>
    <row r="14" spans="1:24" ht="15" x14ac:dyDescent="0.2">
      <c r="A14" s="117">
        <v>13</v>
      </c>
      <c r="B14" s="119" t="s">
        <v>23</v>
      </c>
      <c r="C14" s="99">
        <v>474.23</v>
      </c>
      <c r="D14" s="68">
        <f t="shared" si="0"/>
        <v>2</v>
      </c>
      <c r="E14" s="99">
        <v>109.36</v>
      </c>
      <c r="F14" s="68">
        <f t="shared" si="1"/>
        <v>4</v>
      </c>
      <c r="G14" s="103">
        <f>(8+7+24)/3</f>
        <v>13</v>
      </c>
      <c r="H14" s="99">
        <f>G14/5748</f>
        <v>2.2616562282533055E-3</v>
      </c>
      <c r="I14" s="68">
        <f t="shared" si="2"/>
        <v>2</v>
      </c>
      <c r="J14" s="99">
        <v>52.4</v>
      </c>
      <c r="K14" s="68">
        <f t="shared" si="3"/>
        <v>4</v>
      </c>
      <c r="L14" s="70">
        <f t="shared" si="4"/>
        <v>320</v>
      </c>
      <c r="M14" s="89">
        <f t="shared" si="5"/>
        <v>4</v>
      </c>
      <c r="N14" s="87">
        <v>1</v>
      </c>
      <c r="O14" s="88">
        <f t="shared" si="6"/>
        <v>4</v>
      </c>
      <c r="P14" s="89">
        <f t="shared" si="7"/>
        <v>2</v>
      </c>
      <c r="Q14" s="48">
        <v>1.8</v>
      </c>
      <c r="R14" s="89">
        <f t="shared" si="11"/>
        <v>2</v>
      </c>
      <c r="S14" s="92">
        <f t="shared" si="8"/>
        <v>0</v>
      </c>
      <c r="T14" s="94">
        <f t="shared" si="12"/>
        <v>2</v>
      </c>
      <c r="U14" s="53">
        <v>1</v>
      </c>
      <c r="V14" s="53">
        <v>6</v>
      </c>
      <c r="W14" s="53">
        <f t="shared" si="9"/>
        <v>6</v>
      </c>
      <c r="X14" s="139">
        <f t="shared" si="10"/>
        <v>2</v>
      </c>
    </row>
    <row r="15" spans="1:24" ht="15" x14ac:dyDescent="0.2">
      <c r="A15" s="117">
        <v>14</v>
      </c>
      <c r="B15" s="119" t="s">
        <v>24</v>
      </c>
      <c r="C15" s="99">
        <v>363</v>
      </c>
      <c r="D15" s="68">
        <f t="shared" si="0"/>
        <v>1</v>
      </c>
      <c r="E15" s="99">
        <v>19</v>
      </c>
      <c r="F15" s="68">
        <f t="shared" si="1"/>
        <v>1</v>
      </c>
      <c r="G15" s="103">
        <f>(27+25+33)/3</f>
        <v>28.333333333333332</v>
      </c>
      <c r="H15" s="99">
        <f>G15/6581</f>
        <v>4.305323405764068E-3</v>
      </c>
      <c r="I15" s="68">
        <f t="shared" si="2"/>
        <v>3</v>
      </c>
      <c r="J15" s="99">
        <v>60</v>
      </c>
      <c r="K15" s="68">
        <f t="shared" si="3"/>
        <v>4</v>
      </c>
      <c r="L15" s="70">
        <f t="shared" si="4"/>
        <v>260</v>
      </c>
      <c r="M15" s="89">
        <f t="shared" si="5"/>
        <v>3</v>
      </c>
      <c r="N15" s="87">
        <v>1</v>
      </c>
      <c r="O15" s="88">
        <f t="shared" si="6"/>
        <v>3</v>
      </c>
      <c r="P15" s="89">
        <f t="shared" si="7"/>
        <v>2</v>
      </c>
      <c r="Q15" s="48">
        <v>1.6</v>
      </c>
      <c r="R15" s="89">
        <f t="shared" si="11"/>
        <v>2</v>
      </c>
      <c r="S15" s="92">
        <f t="shared" si="8"/>
        <v>0</v>
      </c>
      <c r="T15" s="95">
        <f t="shared" si="12"/>
        <v>2</v>
      </c>
      <c r="U15" s="53">
        <v>1</v>
      </c>
      <c r="V15" s="53">
        <v>6</v>
      </c>
      <c r="W15" s="53">
        <f t="shared" si="9"/>
        <v>6</v>
      </c>
      <c r="X15" s="139">
        <f t="shared" si="10"/>
        <v>2</v>
      </c>
    </row>
    <row r="16" spans="1:24" ht="15" x14ac:dyDescent="0.2">
      <c r="A16" s="117">
        <v>15</v>
      </c>
      <c r="B16" s="119" t="s">
        <v>25</v>
      </c>
      <c r="C16" s="99">
        <v>243.36</v>
      </c>
      <c r="D16" s="68">
        <f t="shared" si="0"/>
        <v>1</v>
      </c>
      <c r="E16" s="99">
        <v>28.96</v>
      </c>
      <c r="F16" s="68">
        <f t="shared" si="1"/>
        <v>1</v>
      </c>
      <c r="G16" s="103">
        <f>(4+9+5)/3</f>
        <v>6</v>
      </c>
      <c r="H16" s="99">
        <f>G16/5920</f>
        <v>1.0135135135135136E-3</v>
      </c>
      <c r="I16" s="68">
        <f t="shared" si="2"/>
        <v>2</v>
      </c>
      <c r="J16" s="99">
        <v>22.9</v>
      </c>
      <c r="K16" s="68">
        <f t="shared" si="3"/>
        <v>2</v>
      </c>
      <c r="L16" s="70">
        <f t="shared" si="4"/>
        <v>160</v>
      </c>
      <c r="M16" s="89">
        <f t="shared" si="5"/>
        <v>2</v>
      </c>
      <c r="N16" s="87">
        <v>1</v>
      </c>
      <c r="O16" s="88">
        <f t="shared" si="6"/>
        <v>2</v>
      </c>
      <c r="P16" s="89">
        <f t="shared" si="7"/>
        <v>1</v>
      </c>
      <c r="Q16" s="49">
        <v>1.6</v>
      </c>
      <c r="R16" s="89">
        <f t="shared" si="11"/>
        <v>2</v>
      </c>
      <c r="S16" s="92">
        <f t="shared" si="8"/>
        <v>-1</v>
      </c>
      <c r="T16" s="95">
        <f t="shared" si="12"/>
        <v>2</v>
      </c>
      <c r="U16" s="53">
        <v>1</v>
      </c>
      <c r="V16" s="53">
        <v>6</v>
      </c>
      <c r="W16" s="53">
        <f t="shared" si="9"/>
        <v>6</v>
      </c>
      <c r="X16" s="139">
        <f t="shared" si="10"/>
        <v>2</v>
      </c>
    </row>
    <row r="17" spans="1:24" ht="15" x14ac:dyDescent="0.2">
      <c r="A17" s="117">
        <v>16</v>
      </c>
      <c r="B17" s="119" t="s">
        <v>26</v>
      </c>
      <c r="C17" s="99">
        <v>493.56</v>
      </c>
      <c r="D17" s="68">
        <f t="shared" si="0"/>
        <v>2</v>
      </c>
      <c r="E17" s="99">
        <v>51.83</v>
      </c>
      <c r="F17" s="68">
        <f t="shared" si="1"/>
        <v>2</v>
      </c>
      <c r="G17" s="103">
        <f>(14+9+8)/3</f>
        <v>10.333333333333334</v>
      </c>
      <c r="H17" s="99">
        <f>G17/4609</f>
        <v>2.2419903088160848E-3</v>
      </c>
      <c r="I17" s="68">
        <f t="shared" si="2"/>
        <v>2</v>
      </c>
      <c r="J17" s="99">
        <v>22.4</v>
      </c>
      <c r="K17" s="68">
        <f t="shared" si="3"/>
        <v>2</v>
      </c>
      <c r="L17" s="70">
        <f t="shared" si="4"/>
        <v>200</v>
      </c>
      <c r="M17" s="89">
        <f t="shared" si="5"/>
        <v>2</v>
      </c>
      <c r="N17" s="87">
        <v>1</v>
      </c>
      <c r="O17" s="88">
        <f t="shared" si="6"/>
        <v>2</v>
      </c>
      <c r="P17" s="89">
        <f t="shared" si="7"/>
        <v>1</v>
      </c>
      <c r="Q17" s="48">
        <v>1.4</v>
      </c>
      <c r="R17" s="89">
        <f t="shared" si="11"/>
        <v>1</v>
      </c>
      <c r="S17" s="92">
        <f t="shared" si="8"/>
        <v>0</v>
      </c>
      <c r="T17" s="95">
        <f t="shared" si="12"/>
        <v>2</v>
      </c>
      <c r="U17" s="53">
        <v>1</v>
      </c>
      <c r="V17" s="53">
        <v>6</v>
      </c>
      <c r="W17" s="53">
        <f t="shared" si="9"/>
        <v>6</v>
      </c>
      <c r="X17" s="139">
        <f t="shared" si="10"/>
        <v>2</v>
      </c>
    </row>
    <row r="18" spans="1:24" ht="15" x14ac:dyDescent="0.2">
      <c r="A18" s="117">
        <v>17</v>
      </c>
      <c r="B18" s="119" t="s">
        <v>27</v>
      </c>
      <c r="C18" s="99">
        <v>234.83</v>
      </c>
      <c r="D18" s="68">
        <f t="shared" si="0"/>
        <v>1</v>
      </c>
      <c r="E18" s="99">
        <v>15.4</v>
      </c>
      <c r="F18" s="68">
        <f t="shared" si="1"/>
        <v>1</v>
      </c>
      <c r="G18" s="103">
        <f>(30+8+18)/3</f>
        <v>18.666666666666668</v>
      </c>
      <c r="H18" s="99">
        <f>G18/5548</f>
        <v>3.3645758231194427E-3</v>
      </c>
      <c r="I18" s="68">
        <f t="shared" si="2"/>
        <v>3</v>
      </c>
      <c r="J18" s="99">
        <v>29.6</v>
      </c>
      <c r="K18" s="68">
        <f t="shared" si="3"/>
        <v>2</v>
      </c>
      <c r="L18" s="70">
        <f t="shared" si="4"/>
        <v>180</v>
      </c>
      <c r="M18" s="89">
        <f t="shared" si="5"/>
        <v>2</v>
      </c>
      <c r="N18" s="87">
        <v>1</v>
      </c>
      <c r="O18" s="88">
        <f t="shared" si="6"/>
        <v>2</v>
      </c>
      <c r="P18" s="89">
        <f t="shared" si="7"/>
        <v>1</v>
      </c>
      <c r="Q18" s="48">
        <v>2.2000000000000002</v>
      </c>
      <c r="R18" s="89">
        <f t="shared" si="11"/>
        <v>2</v>
      </c>
      <c r="S18" s="92">
        <f t="shared" si="8"/>
        <v>-1</v>
      </c>
      <c r="T18" s="95">
        <f t="shared" si="12"/>
        <v>2</v>
      </c>
      <c r="U18" s="53">
        <v>1</v>
      </c>
      <c r="V18" s="53">
        <v>6</v>
      </c>
      <c r="W18" s="53">
        <f t="shared" si="9"/>
        <v>6</v>
      </c>
      <c r="X18" s="139">
        <f t="shared" si="10"/>
        <v>2</v>
      </c>
    </row>
    <row r="19" spans="1:24" ht="15" x14ac:dyDescent="0.2">
      <c r="A19" s="117">
        <v>18</v>
      </c>
      <c r="B19" s="119" t="s">
        <v>28</v>
      </c>
      <c r="C19" s="99">
        <v>1111.3</v>
      </c>
      <c r="D19" s="68">
        <f t="shared" si="0"/>
        <v>3</v>
      </c>
      <c r="E19" s="99">
        <v>91.56</v>
      </c>
      <c r="F19" s="68">
        <f t="shared" si="1"/>
        <v>3</v>
      </c>
      <c r="G19" s="103">
        <f>(8+8+11)/3</f>
        <v>9</v>
      </c>
      <c r="H19" s="99">
        <f>G19/9176</f>
        <v>9.8081952920662597E-4</v>
      </c>
      <c r="I19" s="68">
        <f t="shared" si="2"/>
        <v>1</v>
      </c>
      <c r="J19" s="99">
        <v>38.799999999999997</v>
      </c>
      <c r="K19" s="68">
        <f t="shared" si="3"/>
        <v>3</v>
      </c>
      <c r="L19" s="70">
        <f t="shared" si="4"/>
        <v>260</v>
      </c>
      <c r="M19" s="89">
        <f t="shared" si="5"/>
        <v>3</v>
      </c>
      <c r="N19" s="87">
        <v>1</v>
      </c>
      <c r="O19" s="88">
        <f t="shared" si="6"/>
        <v>3</v>
      </c>
      <c r="P19" s="89">
        <f t="shared" si="7"/>
        <v>2</v>
      </c>
      <c r="Q19" s="48">
        <v>1.2</v>
      </c>
      <c r="R19" s="89">
        <f t="shared" si="11"/>
        <v>1</v>
      </c>
      <c r="S19" s="92">
        <f t="shared" si="8"/>
        <v>1</v>
      </c>
      <c r="T19" s="95">
        <f t="shared" si="12"/>
        <v>3</v>
      </c>
      <c r="U19" s="53">
        <v>1</v>
      </c>
      <c r="V19" s="53">
        <v>6</v>
      </c>
      <c r="W19" s="53">
        <f t="shared" si="9"/>
        <v>6</v>
      </c>
      <c r="X19" s="139">
        <f t="shared" si="10"/>
        <v>2</v>
      </c>
    </row>
    <row r="20" spans="1:24" ht="15" x14ac:dyDescent="0.2">
      <c r="A20" s="117">
        <v>19</v>
      </c>
      <c r="B20" s="119" t="s">
        <v>29</v>
      </c>
      <c r="C20" s="99">
        <v>283.89999999999998</v>
      </c>
      <c r="D20" s="68">
        <f t="shared" si="0"/>
        <v>1</v>
      </c>
      <c r="E20" s="99">
        <v>39.630000000000003</v>
      </c>
      <c r="F20" s="68">
        <f t="shared" si="1"/>
        <v>2</v>
      </c>
      <c r="G20" s="103">
        <f>(34+34+21)/3</f>
        <v>29.666666666666668</v>
      </c>
      <c r="H20" s="99">
        <f>G20/4915</f>
        <v>6.0359443879281112E-3</v>
      </c>
      <c r="I20" s="68">
        <f t="shared" si="2"/>
        <v>3</v>
      </c>
      <c r="J20" s="99">
        <v>1.5</v>
      </c>
      <c r="K20" s="68">
        <f t="shared" si="3"/>
        <v>1</v>
      </c>
      <c r="L20" s="70">
        <f t="shared" si="4"/>
        <v>160</v>
      </c>
      <c r="M20" s="89">
        <f t="shared" si="5"/>
        <v>2</v>
      </c>
      <c r="N20" s="87">
        <v>2</v>
      </c>
      <c r="O20" s="88">
        <f t="shared" si="6"/>
        <v>4</v>
      </c>
      <c r="P20" s="89">
        <f t="shared" si="7"/>
        <v>2</v>
      </c>
      <c r="Q20" s="48">
        <v>1.8</v>
      </c>
      <c r="R20" s="89">
        <f t="shared" si="11"/>
        <v>2</v>
      </c>
      <c r="S20" s="92">
        <f t="shared" si="8"/>
        <v>0</v>
      </c>
      <c r="T20" s="95">
        <f t="shared" si="12"/>
        <v>2</v>
      </c>
      <c r="U20" s="53">
        <v>1</v>
      </c>
      <c r="V20" s="53">
        <v>6</v>
      </c>
      <c r="W20" s="53">
        <f t="shared" si="9"/>
        <v>6</v>
      </c>
      <c r="X20" s="139">
        <f t="shared" si="10"/>
        <v>2</v>
      </c>
    </row>
    <row r="21" spans="1:24" ht="15" x14ac:dyDescent="0.2">
      <c r="A21" s="117">
        <v>20</v>
      </c>
      <c r="B21" s="119" t="s">
        <v>30</v>
      </c>
      <c r="C21" s="99">
        <v>185.93</v>
      </c>
      <c r="D21" s="68">
        <f t="shared" si="0"/>
        <v>1</v>
      </c>
      <c r="E21" s="99">
        <v>21.73</v>
      </c>
      <c r="F21" s="68">
        <f t="shared" si="1"/>
        <v>1</v>
      </c>
      <c r="G21" s="103">
        <f>(13+13+10)/3</f>
        <v>12</v>
      </c>
      <c r="H21" s="99">
        <f>G21/3084</f>
        <v>3.8910505836575876E-3</v>
      </c>
      <c r="I21" s="68">
        <f t="shared" si="2"/>
        <v>3</v>
      </c>
      <c r="J21" s="99">
        <v>53.4</v>
      </c>
      <c r="K21" s="68">
        <f t="shared" si="3"/>
        <v>4</v>
      </c>
      <c r="L21" s="70">
        <f t="shared" si="4"/>
        <v>260</v>
      </c>
      <c r="M21" s="89">
        <f t="shared" si="5"/>
        <v>3</v>
      </c>
      <c r="N21" s="87">
        <v>1</v>
      </c>
      <c r="O21" s="88">
        <f t="shared" si="6"/>
        <v>3</v>
      </c>
      <c r="P21" s="89">
        <f t="shared" si="7"/>
        <v>2</v>
      </c>
      <c r="Q21" s="48">
        <v>2</v>
      </c>
      <c r="R21" s="89">
        <f t="shared" si="11"/>
        <v>2</v>
      </c>
      <c r="S21" s="92">
        <f t="shared" si="8"/>
        <v>0</v>
      </c>
      <c r="T21" s="95">
        <f t="shared" si="12"/>
        <v>2</v>
      </c>
      <c r="U21" s="53">
        <v>1</v>
      </c>
      <c r="V21" s="53">
        <v>6</v>
      </c>
      <c r="W21" s="53">
        <f t="shared" si="9"/>
        <v>6</v>
      </c>
      <c r="X21" s="139">
        <f t="shared" si="10"/>
        <v>2</v>
      </c>
    </row>
    <row r="22" spans="1:24" ht="15" x14ac:dyDescent="0.2">
      <c r="A22" s="117">
        <v>21</v>
      </c>
      <c r="B22" s="119" t="s">
        <v>31</v>
      </c>
      <c r="C22" s="99">
        <v>385.9</v>
      </c>
      <c r="D22" s="68">
        <f t="shared" si="0"/>
        <v>1</v>
      </c>
      <c r="E22" s="99">
        <v>7.7</v>
      </c>
      <c r="F22" s="68">
        <f t="shared" si="1"/>
        <v>1</v>
      </c>
      <c r="G22" s="103">
        <f>(1+3+4)/3</f>
        <v>2.6666666666666665</v>
      </c>
      <c r="H22" s="99">
        <f>G22/1797</f>
        <v>1.4839547393804488E-3</v>
      </c>
      <c r="I22" s="68">
        <f t="shared" si="2"/>
        <v>2</v>
      </c>
      <c r="J22" s="99">
        <v>6.7</v>
      </c>
      <c r="K22" s="68">
        <f t="shared" si="3"/>
        <v>1</v>
      </c>
      <c r="L22" s="70">
        <f t="shared" si="4"/>
        <v>120</v>
      </c>
      <c r="M22" s="89">
        <f t="shared" si="5"/>
        <v>1</v>
      </c>
      <c r="N22" s="87">
        <v>1</v>
      </c>
      <c r="O22" s="88">
        <f t="shared" si="6"/>
        <v>1</v>
      </c>
      <c r="P22" s="89">
        <f t="shared" si="7"/>
        <v>1</v>
      </c>
      <c r="Q22" s="48">
        <v>2</v>
      </c>
      <c r="R22" s="89">
        <f t="shared" si="11"/>
        <v>2</v>
      </c>
      <c r="S22" s="92">
        <f t="shared" si="8"/>
        <v>-1</v>
      </c>
      <c r="T22" s="95">
        <f t="shared" si="12"/>
        <v>2</v>
      </c>
      <c r="U22" s="53">
        <v>1</v>
      </c>
      <c r="V22" s="53">
        <v>6</v>
      </c>
      <c r="W22" s="53">
        <f t="shared" si="9"/>
        <v>6</v>
      </c>
      <c r="X22" s="139">
        <f t="shared" si="10"/>
        <v>2</v>
      </c>
    </row>
    <row r="23" spans="1:24" ht="15" x14ac:dyDescent="0.2">
      <c r="A23" s="117">
        <v>22</v>
      </c>
      <c r="B23" s="119" t="s">
        <v>32</v>
      </c>
      <c r="C23" s="99">
        <v>5088.16</v>
      </c>
      <c r="D23" s="68">
        <f t="shared" si="0"/>
        <v>4</v>
      </c>
      <c r="E23" s="99">
        <v>44.1</v>
      </c>
      <c r="F23" s="68">
        <f t="shared" si="1"/>
        <v>2</v>
      </c>
      <c r="G23" s="103">
        <f>(319+304+330)/3</f>
        <v>317.66666666666669</v>
      </c>
      <c r="H23" s="99">
        <f>G23/76672</f>
        <v>4.1431900389538121E-3</v>
      </c>
      <c r="I23" s="68">
        <f t="shared" si="2"/>
        <v>3</v>
      </c>
      <c r="J23" s="99">
        <v>23.9</v>
      </c>
      <c r="K23" s="68">
        <f t="shared" si="3"/>
        <v>2</v>
      </c>
      <c r="L23" s="70">
        <f t="shared" si="4"/>
        <v>260</v>
      </c>
      <c r="M23" s="89">
        <f t="shared" si="5"/>
        <v>3</v>
      </c>
      <c r="N23" s="87">
        <v>1</v>
      </c>
      <c r="O23" s="88">
        <f t="shared" si="6"/>
        <v>3</v>
      </c>
      <c r="P23" s="89">
        <f t="shared" si="7"/>
        <v>2</v>
      </c>
      <c r="Q23" s="48">
        <v>2.6</v>
      </c>
      <c r="R23" s="89">
        <f t="shared" si="11"/>
        <v>3</v>
      </c>
      <c r="S23" s="92">
        <f t="shared" si="8"/>
        <v>-1</v>
      </c>
      <c r="T23" s="95">
        <f t="shared" si="12"/>
        <v>2</v>
      </c>
      <c r="U23" s="53">
        <v>1</v>
      </c>
      <c r="V23" s="53">
        <v>6</v>
      </c>
      <c r="W23" s="53">
        <f t="shared" si="9"/>
        <v>6</v>
      </c>
      <c r="X23" s="139">
        <f t="shared" si="10"/>
        <v>2</v>
      </c>
    </row>
    <row r="24" spans="1:24" ht="15" x14ac:dyDescent="0.2">
      <c r="A24" s="117">
        <v>23</v>
      </c>
      <c r="B24" s="119" t="s">
        <v>33</v>
      </c>
      <c r="C24" s="99">
        <v>1104.8599999999999</v>
      </c>
      <c r="D24" s="68">
        <f t="shared" si="0"/>
        <v>3</v>
      </c>
      <c r="E24" s="99">
        <v>106.16670000000001</v>
      </c>
      <c r="F24" s="68">
        <f t="shared" si="1"/>
        <v>4</v>
      </c>
      <c r="G24" s="103">
        <f>(15+14+20)/3</f>
        <v>16.333333333333332</v>
      </c>
      <c r="H24" s="99">
        <f>G24/7164</f>
        <v>2.2799181090638375E-3</v>
      </c>
      <c r="I24" s="68">
        <f t="shared" si="2"/>
        <v>2</v>
      </c>
      <c r="J24" s="99">
        <v>5.9</v>
      </c>
      <c r="K24" s="68">
        <f t="shared" si="3"/>
        <v>1</v>
      </c>
      <c r="L24" s="70">
        <f t="shared" si="4"/>
        <v>220</v>
      </c>
      <c r="M24" s="89">
        <f t="shared" si="5"/>
        <v>2</v>
      </c>
      <c r="N24" s="87">
        <v>1</v>
      </c>
      <c r="O24" s="88">
        <f t="shared" si="6"/>
        <v>2</v>
      </c>
      <c r="P24" s="89">
        <f t="shared" si="7"/>
        <v>1</v>
      </c>
      <c r="Q24" s="48">
        <v>1.4</v>
      </c>
      <c r="R24" s="89">
        <f t="shared" si="11"/>
        <v>1</v>
      </c>
      <c r="S24" s="92">
        <f t="shared" si="8"/>
        <v>0</v>
      </c>
      <c r="T24" s="95">
        <f t="shared" si="12"/>
        <v>2</v>
      </c>
      <c r="U24" s="53">
        <v>1</v>
      </c>
      <c r="V24" s="53">
        <v>6</v>
      </c>
      <c r="W24" s="53">
        <f t="shared" si="9"/>
        <v>6</v>
      </c>
      <c r="X24" s="139">
        <f t="shared" si="10"/>
        <v>2</v>
      </c>
    </row>
    <row r="25" spans="1:24" ht="15" x14ac:dyDescent="0.2">
      <c r="A25" s="117">
        <v>24</v>
      </c>
      <c r="B25" s="119" t="s">
        <v>34</v>
      </c>
      <c r="C25" s="99">
        <v>103.23</v>
      </c>
      <c r="D25" s="68">
        <f t="shared" si="0"/>
        <v>1</v>
      </c>
      <c r="E25" s="99">
        <v>16.559999999999999</v>
      </c>
      <c r="F25" s="68">
        <f t="shared" si="1"/>
        <v>1</v>
      </c>
      <c r="G25" s="103">
        <f>(20+10+5)/3</f>
        <v>11.666666666666666</v>
      </c>
      <c r="H25" s="99">
        <f>G25/2306</f>
        <v>5.0592656837236197E-3</v>
      </c>
      <c r="I25" s="68">
        <f t="shared" si="2"/>
        <v>3</v>
      </c>
      <c r="J25" s="99">
        <v>19.8</v>
      </c>
      <c r="K25" s="68">
        <f t="shared" si="3"/>
        <v>2</v>
      </c>
      <c r="L25" s="70">
        <f t="shared" si="4"/>
        <v>180</v>
      </c>
      <c r="M25" s="89">
        <f t="shared" si="5"/>
        <v>2</v>
      </c>
      <c r="N25" s="87">
        <v>1</v>
      </c>
      <c r="O25" s="88">
        <f t="shared" si="6"/>
        <v>2</v>
      </c>
      <c r="P25" s="89">
        <f t="shared" si="7"/>
        <v>1</v>
      </c>
      <c r="Q25" s="48">
        <v>2.8</v>
      </c>
      <c r="R25" s="89">
        <f t="shared" si="11"/>
        <v>3</v>
      </c>
      <c r="S25" s="92">
        <f t="shared" si="8"/>
        <v>-2</v>
      </c>
      <c r="T25" s="93">
        <f t="shared" si="12"/>
        <v>1</v>
      </c>
      <c r="U25" s="53">
        <v>1</v>
      </c>
      <c r="V25" s="53">
        <v>6</v>
      </c>
      <c r="W25" s="53">
        <f t="shared" si="9"/>
        <v>6</v>
      </c>
      <c r="X25" s="139">
        <f t="shared" si="10"/>
        <v>2</v>
      </c>
    </row>
    <row r="26" spans="1:24" ht="15" x14ac:dyDescent="0.2">
      <c r="A26" s="117">
        <v>25</v>
      </c>
      <c r="B26" s="119" t="s">
        <v>35</v>
      </c>
      <c r="C26" s="99">
        <v>844.86</v>
      </c>
      <c r="D26" s="68">
        <f t="shared" si="0"/>
        <v>2</v>
      </c>
      <c r="E26" s="99">
        <v>28.63</v>
      </c>
      <c r="F26" s="68">
        <f t="shared" si="1"/>
        <v>1</v>
      </c>
      <c r="G26" s="103">
        <f>(24+3+16)/3</f>
        <v>14.333333333333334</v>
      </c>
      <c r="H26" s="99">
        <f>G26/10725</f>
        <v>1.3364413364413364E-3</v>
      </c>
      <c r="I26" s="68">
        <f t="shared" si="2"/>
        <v>2</v>
      </c>
      <c r="J26" s="99">
        <v>55.2</v>
      </c>
      <c r="K26" s="68">
        <f t="shared" si="3"/>
        <v>4</v>
      </c>
      <c r="L26" s="70">
        <f t="shared" si="4"/>
        <v>260</v>
      </c>
      <c r="M26" s="89">
        <f t="shared" si="5"/>
        <v>3</v>
      </c>
      <c r="N26" s="87">
        <v>1</v>
      </c>
      <c r="O26" s="88">
        <f t="shared" si="6"/>
        <v>3</v>
      </c>
      <c r="P26" s="89">
        <f t="shared" si="7"/>
        <v>2</v>
      </c>
      <c r="Q26" s="48">
        <v>2</v>
      </c>
      <c r="R26" s="89">
        <f t="shared" si="11"/>
        <v>2</v>
      </c>
      <c r="S26" s="92">
        <f t="shared" si="8"/>
        <v>0</v>
      </c>
      <c r="T26" s="95">
        <f t="shared" si="12"/>
        <v>2</v>
      </c>
      <c r="U26" s="53">
        <v>1</v>
      </c>
      <c r="V26" s="53">
        <v>6</v>
      </c>
      <c r="W26" s="53">
        <f t="shared" si="9"/>
        <v>6</v>
      </c>
      <c r="X26" s="139">
        <f t="shared" si="10"/>
        <v>2</v>
      </c>
    </row>
    <row r="27" spans="1:24" ht="15.75" thickBot="1" x14ac:dyDescent="0.25">
      <c r="A27" s="118">
        <v>26</v>
      </c>
      <c r="B27" s="121" t="s">
        <v>36</v>
      </c>
      <c r="C27" s="100">
        <v>3570.4</v>
      </c>
      <c r="D27" s="77">
        <f t="shared" si="0"/>
        <v>3</v>
      </c>
      <c r="E27" s="100">
        <v>28.66</v>
      </c>
      <c r="F27" s="77">
        <f t="shared" si="1"/>
        <v>1</v>
      </c>
      <c r="G27" s="104">
        <f>(17+27+18)/3</f>
        <v>20.666666666666668</v>
      </c>
      <c r="H27" s="100">
        <f>G27/3459</f>
        <v>5.9747518550640841E-3</v>
      </c>
      <c r="I27" s="77">
        <f t="shared" si="2"/>
        <v>3</v>
      </c>
      <c r="J27" s="100">
        <v>0.1</v>
      </c>
      <c r="K27" s="77">
        <f t="shared" si="3"/>
        <v>1</v>
      </c>
      <c r="L27" s="70">
        <f t="shared" si="4"/>
        <v>180</v>
      </c>
      <c r="M27" s="90">
        <f t="shared" si="5"/>
        <v>2</v>
      </c>
      <c r="N27" s="87">
        <v>1</v>
      </c>
      <c r="O27" s="88">
        <f t="shared" si="6"/>
        <v>2</v>
      </c>
      <c r="P27" s="90">
        <f t="shared" si="7"/>
        <v>1</v>
      </c>
      <c r="Q27" s="48">
        <v>1.4</v>
      </c>
      <c r="R27" s="90">
        <f t="shared" si="11"/>
        <v>1</v>
      </c>
      <c r="S27" s="92">
        <f t="shared" si="8"/>
        <v>0</v>
      </c>
      <c r="T27" s="97">
        <f t="shared" si="12"/>
        <v>2</v>
      </c>
      <c r="U27" s="53">
        <v>1</v>
      </c>
      <c r="V27" s="53">
        <v>6</v>
      </c>
      <c r="W27" s="53">
        <f t="shared" si="9"/>
        <v>6</v>
      </c>
      <c r="X27" s="139">
        <f t="shared" si="10"/>
        <v>2</v>
      </c>
    </row>
  </sheetData>
  <sortState xmlns:xlrd2="http://schemas.microsoft.com/office/spreadsheetml/2017/richdata2" ref="A2:X27">
    <sortCondition ref="A2:A27"/>
  </sortState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3F4ED-E9F0-43E6-AC62-01DA3CF1D5BC}">
  <dimension ref="A1:X27"/>
  <sheetViews>
    <sheetView zoomScale="80" zoomScaleNormal="80" workbookViewId="0">
      <pane xSplit="2" ySplit="1" topLeftCell="K2" activePane="bottomRight" state="frozen"/>
      <selection pane="topRight" activeCell="C1" sqref="C1"/>
      <selection pane="bottomLeft" activeCell="A2" sqref="A2"/>
      <selection pane="bottomRight" activeCell="X2" sqref="X2:X27"/>
    </sheetView>
  </sheetViews>
  <sheetFormatPr defaultColWidth="8.7109375" defaultRowHeight="14.25" x14ac:dyDescent="0.2"/>
  <cols>
    <col min="1" max="1" width="8.7109375" style="1"/>
    <col min="2" max="2" width="28.7109375" style="1" customWidth="1"/>
    <col min="3" max="9" width="17.5703125" style="1" customWidth="1"/>
    <col min="10" max="10" width="22.7109375" style="1" customWidth="1"/>
    <col min="11" max="12" width="17.5703125" style="1" customWidth="1"/>
    <col min="13" max="13" width="15.42578125" style="2" customWidth="1"/>
    <col min="14" max="14" width="21.28515625" style="2" customWidth="1"/>
    <col min="15" max="15" width="15.7109375" style="2" customWidth="1"/>
    <col min="16" max="16" width="16" style="2" customWidth="1"/>
    <col min="17" max="18" width="18.85546875" style="2" customWidth="1"/>
    <col min="19" max="19" width="16.85546875" style="2" customWidth="1"/>
    <col min="20" max="20" width="15.140625" style="2" customWidth="1"/>
    <col min="21" max="21" width="16.7109375" style="2" customWidth="1"/>
    <col min="22" max="22" width="16.85546875" style="2" customWidth="1"/>
    <col min="23" max="23" width="16.28515625" style="2" customWidth="1"/>
    <col min="24" max="24" width="16.42578125" style="1" customWidth="1"/>
    <col min="25" max="16384" width="8.7109375" style="1"/>
  </cols>
  <sheetData>
    <row r="1" spans="1:24" ht="135" x14ac:dyDescent="0.2">
      <c r="A1" s="34" t="s">
        <v>0</v>
      </c>
      <c r="B1" s="36" t="s">
        <v>1</v>
      </c>
      <c r="C1" s="34" t="s">
        <v>57</v>
      </c>
      <c r="D1" s="36" t="s">
        <v>45</v>
      </c>
      <c r="E1" s="34" t="s">
        <v>55</v>
      </c>
      <c r="F1" s="101" t="s">
        <v>47</v>
      </c>
      <c r="G1" s="102" t="s">
        <v>44</v>
      </c>
      <c r="H1" s="34" t="s">
        <v>56</v>
      </c>
      <c r="I1" s="36" t="s">
        <v>49</v>
      </c>
      <c r="J1" s="34" t="s">
        <v>40</v>
      </c>
      <c r="K1" s="36" t="s">
        <v>58</v>
      </c>
      <c r="L1" s="41" t="s">
        <v>59</v>
      </c>
      <c r="M1" s="39" t="s">
        <v>2</v>
      </c>
      <c r="N1" s="40" t="s">
        <v>3</v>
      </c>
      <c r="O1" s="38" t="s">
        <v>4</v>
      </c>
      <c r="P1" s="39" t="s">
        <v>5</v>
      </c>
      <c r="Q1" s="41" t="s">
        <v>54</v>
      </c>
      <c r="R1" s="39" t="s">
        <v>6</v>
      </c>
      <c r="S1" s="41" t="s">
        <v>7</v>
      </c>
      <c r="T1" s="39" t="s">
        <v>8</v>
      </c>
      <c r="U1" s="40" t="s">
        <v>9</v>
      </c>
      <c r="V1" s="40" t="s">
        <v>10</v>
      </c>
      <c r="W1" s="40" t="s">
        <v>11</v>
      </c>
      <c r="X1" s="40" t="s">
        <v>12</v>
      </c>
    </row>
    <row r="2" spans="1:24" ht="15" x14ac:dyDescent="0.2">
      <c r="A2" s="117">
        <v>1</v>
      </c>
      <c r="B2" s="119" t="s">
        <v>13</v>
      </c>
      <c r="C2" s="67">
        <f>(1262.5+1103.7+1153.6)/3</f>
        <v>1173.2666666666667</v>
      </c>
      <c r="D2" s="68">
        <f t="shared" ref="D2:D27" si="0">IF(C2&lt;422,1,IF(C2&lt;1000,2,IF(C2&lt;3600,3,4)))</f>
        <v>3</v>
      </c>
      <c r="E2" s="99">
        <v>73.900000000000006</v>
      </c>
      <c r="F2" s="68">
        <f t="shared" ref="F2:F27" si="1">IF(E2&lt;30,1,IF(E2&lt;52,2,IF(E2&lt;92,3,4)))</f>
        <v>3</v>
      </c>
      <c r="G2" s="103">
        <f>(19+16+47)/3</f>
        <v>27.333333333333332</v>
      </c>
      <c r="H2" s="99">
        <f>G2/((17133+17052)/2)</f>
        <v>1.5991419238457413E-3</v>
      </c>
      <c r="I2" s="68">
        <f t="shared" ref="I2:I27" si="2">IF(H2&lt;0.001,1,IF(H2&lt;0.003,2,IF(H2&lt;0.007,3,4)))</f>
        <v>2</v>
      </c>
      <c r="J2" s="99">
        <v>25.1</v>
      </c>
      <c r="K2" s="68">
        <f t="shared" ref="K2:K27" si="3">IF(J2&lt;14,1,IF(J2&lt;30,2,IF(J2&lt;50,3,4)))</f>
        <v>2</v>
      </c>
      <c r="L2" s="70">
        <f t="shared" ref="L2:L27" si="4">((D2*20)+(F2*20)+(I2*20)+(K2*40)/100%)</f>
        <v>240</v>
      </c>
      <c r="M2" s="89">
        <f t="shared" ref="M2:M27" si="5">IF(L2&lt;160,1,IF(L2&lt;230,2,IF(L2&lt;300,3,4)))</f>
        <v>3</v>
      </c>
      <c r="N2" s="87">
        <v>3</v>
      </c>
      <c r="O2" s="88">
        <f t="shared" ref="O2:O27" si="6">M2*N2</f>
        <v>9</v>
      </c>
      <c r="P2" s="89">
        <f t="shared" ref="P2:P27" si="7">IF(O2&lt;3,1,IF(O2&lt;5,2,IF(O2&lt;12,3,4)))</f>
        <v>3</v>
      </c>
      <c r="Q2" s="48">
        <v>1.4</v>
      </c>
      <c r="R2" s="89">
        <f t="shared" ref="R2:R27" si="8">IF(Q2&lt;1.5,1,IF(Q2&lt;2.5,2,IF(Q2&lt;3.3,3,4)))</f>
        <v>1</v>
      </c>
      <c r="S2" s="92">
        <f t="shared" ref="S2:S27" si="9">P2-R2</f>
        <v>2</v>
      </c>
      <c r="T2" s="94">
        <f>IF(S2&lt;-1,1,IF(S2&lt;1,2,IF(S2=1,3,4)))</f>
        <v>4</v>
      </c>
      <c r="U2" s="53">
        <v>1</v>
      </c>
      <c r="V2" s="53">
        <v>7</v>
      </c>
      <c r="W2" s="53">
        <f>U2*V2</f>
        <v>7</v>
      </c>
      <c r="X2" s="139">
        <f>IF(W2&lt;6,1,IF(W2&lt;12,2,IF(W2&lt;18,3,4)))</f>
        <v>2</v>
      </c>
    </row>
    <row r="3" spans="1:24" ht="15" x14ac:dyDescent="0.2">
      <c r="A3" s="117">
        <v>2</v>
      </c>
      <c r="B3" s="119" t="s">
        <v>14</v>
      </c>
      <c r="C3" s="99">
        <v>187.8</v>
      </c>
      <c r="D3" s="68">
        <f t="shared" si="0"/>
        <v>1</v>
      </c>
      <c r="E3" s="99">
        <v>27.4</v>
      </c>
      <c r="F3" s="68">
        <f t="shared" si="1"/>
        <v>1</v>
      </c>
      <c r="G3" s="103">
        <f>(9+4+7)/3</f>
        <v>6.666666666666667</v>
      </c>
      <c r="H3" s="99">
        <f>G3/2770</f>
        <v>2.4067388688327317E-3</v>
      </c>
      <c r="I3" s="68">
        <f t="shared" si="2"/>
        <v>2</v>
      </c>
      <c r="J3" s="99">
        <v>46</v>
      </c>
      <c r="K3" s="68">
        <f t="shared" si="3"/>
        <v>3</v>
      </c>
      <c r="L3" s="70">
        <f t="shared" si="4"/>
        <v>200</v>
      </c>
      <c r="M3" s="89">
        <f t="shared" si="5"/>
        <v>2</v>
      </c>
      <c r="N3" s="87">
        <v>2</v>
      </c>
      <c r="O3" s="88">
        <f t="shared" si="6"/>
        <v>4</v>
      </c>
      <c r="P3" s="89">
        <f t="shared" si="7"/>
        <v>2</v>
      </c>
      <c r="Q3" s="48">
        <v>1.8</v>
      </c>
      <c r="R3" s="89">
        <f t="shared" si="8"/>
        <v>2</v>
      </c>
      <c r="S3" s="92">
        <f t="shared" si="9"/>
        <v>0</v>
      </c>
      <c r="T3" s="95">
        <f>IF(S3&lt;-1,1,IF(S3&lt;1,2,IF(S3=1,3,4)))</f>
        <v>2</v>
      </c>
      <c r="U3" s="53">
        <v>1</v>
      </c>
      <c r="V3" s="53">
        <v>7</v>
      </c>
      <c r="W3" s="53">
        <f t="shared" ref="W3:W27" si="10">U3*V3</f>
        <v>7</v>
      </c>
      <c r="X3" s="139">
        <f t="shared" ref="X3:X27" si="11">IF(W3&lt;6,1,IF(W3&lt;12,2,IF(W3&lt;18,3,4)))</f>
        <v>2</v>
      </c>
    </row>
    <row r="4" spans="1:24" ht="15" x14ac:dyDescent="0.2">
      <c r="A4" s="117">
        <v>3</v>
      </c>
      <c r="B4" s="120" t="s">
        <v>41</v>
      </c>
      <c r="C4" s="99">
        <v>882.76</v>
      </c>
      <c r="D4" s="68">
        <f t="shared" si="0"/>
        <v>2</v>
      </c>
      <c r="E4" s="99">
        <v>38.630000000000003</v>
      </c>
      <c r="F4" s="68">
        <f t="shared" si="1"/>
        <v>2</v>
      </c>
      <c r="G4" s="103">
        <f>(48+43+44)/3</f>
        <v>45</v>
      </c>
      <c r="H4" s="99">
        <f>G4/15236</f>
        <v>2.9535311105276974E-3</v>
      </c>
      <c r="I4" s="68">
        <f t="shared" si="2"/>
        <v>2</v>
      </c>
      <c r="J4" s="99">
        <v>27.8</v>
      </c>
      <c r="K4" s="68">
        <f t="shared" si="3"/>
        <v>2</v>
      </c>
      <c r="L4" s="70">
        <f t="shared" si="4"/>
        <v>200</v>
      </c>
      <c r="M4" s="89">
        <f t="shared" si="5"/>
        <v>2</v>
      </c>
      <c r="N4" s="87">
        <v>3</v>
      </c>
      <c r="O4" s="88">
        <f t="shared" si="6"/>
        <v>6</v>
      </c>
      <c r="P4" s="89">
        <f t="shared" si="7"/>
        <v>3</v>
      </c>
      <c r="Q4" s="48">
        <v>3.8</v>
      </c>
      <c r="R4" s="89">
        <f t="shared" si="8"/>
        <v>4</v>
      </c>
      <c r="S4" s="92">
        <f t="shared" si="9"/>
        <v>-1</v>
      </c>
      <c r="T4" s="95">
        <f>IF(S4&lt;-1,1,IF(S4&lt;1,2,IF(S4=1,3,4)))</f>
        <v>2</v>
      </c>
      <c r="U4" s="53">
        <v>1</v>
      </c>
      <c r="V4" s="53">
        <v>7</v>
      </c>
      <c r="W4" s="53">
        <f t="shared" si="10"/>
        <v>7</v>
      </c>
      <c r="X4" s="139">
        <f t="shared" si="11"/>
        <v>2</v>
      </c>
    </row>
    <row r="5" spans="1:24" ht="15" x14ac:dyDescent="0.2">
      <c r="A5" s="117">
        <v>4</v>
      </c>
      <c r="B5" s="119" t="s">
        <v>15</v>
      </c>
      <c r="C5" s="99">
        <v>359.23</v>
      </c>
      <c r="D5" s="68">
        <f t="shared" si="0"/>
        <v>1</v>
      </c>
      <c r="E5" s="99">
        <v>87.78</v>
      </c>
      <c r="F5" s="68">
        <f t="shared" si="1"/>
        <v>3</v>
      </c>
      <c r="G5" s="103">
        <f>(9+12+10)/3</f>
        <v>10.333333333333334</v>
      </c>
      <c r="H5" s="99">
        <f>G5/3563</f>
        <v>2.9001777528300122E-3</v>
      </c>
      <c r="I5" s="68">
        <f t="shared" si="2"/>
        <v>2</v>
      </c>
      <c r="J5" s="99">
        <v>13.4</v>
      </c>
      <c r="K5" s="68">
        <f t="shared" si="3"/>
        <v>1</v>
      </c>
      <c r="L5" s="70">
        <f t="shared" si="4"/>
        <v>160</v>
      </c>
      <c r="M5" s="89">
        <f t="shared" si="5"/>
        <v>2</v>
      </c>
      <c r="N5" s="87">
        <v>2</v>
      </c>
      <c r="O5" s="88">
        <f t="shared" si="6"/>
        <v>4</v>
      </c>
      <c r="P5" s="89">
        <f t="shared" si="7"/>
        <v>2</v>
      </c>
      <c r="Q5" s="48">
        <v>2.4</v>
      </c>
      <c r="R5" s="89">
        <f t="shared" si="8"/>
        <v>2</v>
      </c>
      <c r="S5" s="92">
        <f t="shared" si="9"/>
        <v>0</v>
      </c>
      <c r="T5" s="95">
        <f>IF(S5&lt;-1,1,IF(S5&lt;1,2,IF(S5=1,3,4)))</f>
        <v>2</v>
      </c>
      <c r="U5" s="53">
        <v>1</v>
      </c>
      <c r="V5" s="53">
        <v>7</v>
      </c>
      <c r="W5" s="53">
        <f t="shared" si="10"/>
        <v>7</v>
      </c>
      <c r="X5" s="139">
        <f t="shared" si="11"/>
        <v>2</v>
      </c>
    </row>
    <row r="6" spans="1:24" ht="15" x14ac:dyDescent="0.2">
      <c r="A6" s="117">
        <v>5</v>
      </c>
      <c r="B6" s="119" t="s">
        <v>16</v>
      </c>
      <c r="C6" s="99">
        <v>2160.2600000000002</v>
      </c>
      <c r="D6" s="68">
        <f t="shared" si="0"/>
        <v>3</v>
      </c>
      <c r="E6" s="99">
        <v>189.36</v>
      </c>
      <c r="F6" s="68">
        <f t="shared" si="1"/>
        <v>4</v>
      </c>
      <c r="G6" s="103">
        <f>(49+42+49)/3</f>
        <v>46.666666666666664</v>
      </c>
      <c r="H6" s="99">
        <f>G6/7889</f>
        <v>5.9154096421177166E-3</v>
      </c>
      <c r="I6" s="68">
        <f t="shared" si="2"/>
        <v>3</v>
      </c>
      <c r="J6" s="99">
        <v>62.8</v>
      </c>
      <c r="K6" s="68">
        <f t="shared" si="3"/>
        <v>4</v>
      </c>
      <c r="L6" s="70">
        <f t="shared" si="4"/>
        <v>360</v>
      </c>
      <c r="M6" s="89">
        <f t="shared" si="5"/>
        <v>4</v>
      </c>
      <c r="N6" s="87">
        <v>1</v>
      </c>
      <c r="O6" s="88">
        <f t="shared" si="6"/>
        <v>4</v>
      </c>
      <c r="P6" s="89">
        <f t="shared" si="7"/>
        <v>2</v>
      </c>
      <c r="Q6" s="48" t="s">
        <v>37</v>
      </c>
      <c r="R6" s="89">
        <f t="shared" si="8"/>
        <v>4</v>
      </c>
      <c r="S6" s="92">
        <f t="shared" si="9"/>
        <v>-2</v>
      </c>
      <c r="T6" s="95">
        <v>2</v>
      </c>
      <c r="U6" s="53">
        <v>1</v>
      </c>
      <c r="V6" s="53">
        <v>7</v>
      </c>
      <c r="W6" s="53">
        <f t="shared" si="10"/>
        <v>7</v>
      </c>
      <c r="X6" s="139">
        <f t="shared" si="11"/>
        <v>2</v>
      </c>
    </row>
    <row r="7" spans="1:24" ht="15" x14ac:dyDescent="0.2">
      <c r="A7" s="117">
        <v>6</v>
      </c>
      <c r="B7" s="119" t="s">
        <v>17</v>
      </c>
      <c r="C7" s="99">
        <v>229.63</v>
      </c>
      <c r="D7" s="68">
        <f t="shared" si="0"/>
        <v>1</v>
      </c>
      <c r="E7" s="99">
        <v>21.66</v>
      </c>
      <c r="F7" s="68">
        <f t="shared" si="1"/>
        <v>1</v>
      </c>
      <c r="G7" s="103">
        <f>(28+39+41)/3</f>
        <v>36</v>
      </c>
      <c r="H7" s="99">
        <f>G7/7187</f>
        <v>5.0090441074161678E-3</v>
      </c>
      <c r="I7" s="68">
        <f t="shared" si="2"/>
        <v>3</v>
      </c>
      <c r="J7" s="99">
        <v>13.3</v>
      </c>
      <c r="K7" s="68">
        <f t="shared" si="3"/>
        <v>1</v>
      </c>
      <c r="L7" s="70">
        <f t="shared" si="4"/>
        <v>140</v>
      </c>
      <c r="M7" s="89">
        <f t="shared" si="5"/>
        <v>1</v>
      </c>
      <c r="N7" s="87">
        <v>2</v>
      </c>
      <c r="O7" s="88">
        <f t="shared" si="6"/>
        <v>2</v>
      </c>
      <c r="P7" s="89">
        <f t="shared" si="7"/>
        <v>1</v>
      </c>
      <c r="Q7" s="48">
        <v>1.4</v>
      </c>
      <c r="R7" s="89">
        <f t="shared" si="8"/>
        <v>1</v>
      </c>
      <c r="S7" s="92">
        <f t="shared" si="9"/>
        <v>0</v>
      </c>
      <c r="T7" s="95">
        <f t="shared" ref="T7:T27" si="12">IF(S7&lt;-1,1,IF(S7&lt;1,2,IF(S7=1,3,4)))</f>
        <v>2</v>
      </c>
      <c r="U7" s="53">
        <v>1</v>
      </c>
      <c r="V7" s="53">
        <v>7</v>
      </c>
      <c r="W7" s="53">
        <f t="shared" si="10"/>
        <v>7</v>
      </c>
      <c r="X7" s="139">
        <f t="shared" si="11"/>
        <v>2</v>
      </c>
    </row>
    <row r="8" spans="1:24" ht="15" x14ac:dyDescent="0.2">
      <c r="A8" s="117">
        <v>7</v>
      </c>
      <c r="B8" s="119" t="s">
        <v>18</v>
      </c>
      <c r="C8" s="67">
        <v>846.36666666666667</v>
      </c>
      <c r="D8" s="68">
        <f t="shared" si="0"/>
        <v>2</v>
      </c>
      <c r="E8" s="99">
        <v>76.900000000000006</v>
      </c>
      <c r="F8" s="68">
        <f t="shared" si="1"/>
        <v>3</v>
      </c>
      <c r="G8" s="103">
        <v>39</v>
      </c>
      <c r="H8" s="99">
        <f>G8/6331</f>
        <v>6.1601642710472282E-3</v>
      </c>
      <c r="I8" s="68">
        <f t="shared" si="2"/>
        <v>3</v>
      </c>
      <c r="J8" s="99">
        <v>42.7</v>
      </c>
      <c r="K8" s="68">
        <f t="shared" si="3"/>
        <v>3</v>
      </c>
      <c r="L8" s="70">
        <f t="shared" si="4"/>
        <v>280</v>
      </c>
      <c r="M8" s="89">
        <f t="shared" si="5"/>
        <v>3</v>
      </c>
      <c r="N8" s="87">
        <v>1</v>
      </c>
      <c r="O8" s="88">
        <f t="shared" si="6"/>
        <v>3</v>
      </c>
      <c r="P8" s="89">
        <f t="shared" si="7"/>
        <v>2</v>
      </c>
      <c r="Q8" s="48">
        <v>1.2</v>
      </c>
      <c r="R8" s="89">
        <f t="shared" si="8"/>
        <v>1</v>
      </c>
      <c r="S8" s="92">
        <f t="shared" si="9"/>
        <v>1</v>
      </c>
      <c r="T8" s="94">
        <f t="shared" si="12"/>
        <v>3</v>
      </c>
      <c r="U8" s="53">
        <v>1</v>
      </c>
      <c r="V8" s="53">
        <v>7</v>
      </c>
      <c r="W8" s="53">
        <f t="shared" si="10"/>
        <v>7</v>
      </c>
      <c r="X8" s="139">
        <f t="shared" si="11"/>
        <v>2</v>
      </c>
    </row>
    <row r="9" spans="1:24" ht="15" x14ac:dyDescent="0.2">
      <c r="A9" s="117">
        <v>8</v>
      </c>
      <c r="B9" s="119" t="s">
        <v>19</v>
      </c>
      <c r="C9" s="99">
        <v>977</v>
      </c>
      <c r="D9" s="68">
        <f t="shared" si="0"/>
        <v>2</v>
      </c>
      <c r="E9" s="99">
        <v>126.3</v>
      </c>
      <c r="F9" s="68">
        <f t="shared" si="1"/>
        <v>4</v>
      </c>
      <c r="G9" s="103">
        <f>(26+10+12)/3</f>
        <v>16</v>
      </c>
      <c r="H9" s="99">
        <f>G9/4502</f>
        <v>3.5539760106619279E-3</v>
      </c>
      <c r="I9" s="68">
        <f t="shared" si="2"/>
        <v>3</v>
      </c>
      <c r="J9" s="99">
        <v>51.8</v>
      </c>
      <c r="K9" s="68">
        <f t="shared" si="3"/>
        <v>4</v>
      </c>
      <c r="L9" s="70">
        <f t="shared" si="4"/>
        <v>340</v>
      </c>
      <c r="M9" s="89">
        <f t="shared" si="5"/>
        <v>4</v>
      </c>
      <c r="N9" s="87">
        <v>1</v>
      </c>
      <c r="O9" s="88">
        <f t="shared" si="6"/>
        <v>4</v>
      </c>
      <c r="P9" s="89">
        <f t="shared" si="7"/>
        <v>2</v>
      </c>
      <c r="Q9" s="48">
        <v>3</v>
      </c>
      <c r="R9" s="89">
        <f t="shared" si="8"/>
        <v>3</v>
      </c>
      <c r="S9" s="92">
        <f t="shared" si="9"/>
        <v>-1</v>
      </c>
      <c r="T9" s="93">
        <f t="shared" si="12"/>
        <v>2</v>
      </c>
      <c r="U9" s="53">
        <v>1</v>
      </c>
      <c r="V9" s="53">
        <v>7</v>
      </c>
      <c r="W9" s="53">
        <f t="shared" si="10"/>
        <v>7</v>
      </c>
      <c r="X9" s="139">
        <f t="shared" si="11"/>
        <v>2</v>
      </c>
    </row>
    <row r="10" spans="1:24" ht="15" x14ac:dyDescent="0.2">
      <c r="A10" s="117">
        <v>9</v>
      </c>
      <c r="B10" s="119" t="s">
        <v>20</v>
      </c>
      <c r="C10" s="99">
        <v>104.5</v>
      </c>
      <c r="D10" s="68">
        <f t="shared" si="0"/>
        <v>1</v>
      </c>
      <c r="E10" s="99">
        <v>13.13</v>
      </c>
      <c r="F10" s="68">
        <f t="shared" si="1"/>
        <v>1</v>
      </c>
      <c r="G10" s="103">
        <f>(9+3+6)/3</f>
        <v>6</v>
      </c>
      <c r="H10" s="99">
        <f>G10/2407</f>
        <v>2.4927295388450354E-3</v>
      </c>
      <c r="I10" s="68">
        <f t="shared" si="2"/>
        <v>2</v>
      </c>
      <c r="J10" s="99">
        <v>23</v>
      </c>
      <c r="K10" s="68">
        <f t="shared" si="3"/>
        <v>2</v>
      </c>
      <c r="L10" s="70">
        <f t="shared" si="4"/>
        <v>160</v>
      </c>
      <c r="M10" s="89">
        <f t="shared" si="5"/>
        <v>2</v>
      </c>
      <c r="N10" s="87">
        <v>2</v>
      </c>
      <c r="O10" s="88">
        <f t="shared" si="6"/>
        <v>4</v>
      </c>
      <c r="P10" s="89">
        <f t="shared" si="7"/>
        <v>2</v>
      </c>
      <c r="Q10" s="48">
        <v>1.4</v>
      </c>
      <c r="R10" s="89">
        <f t="shared" si="8"/>
        <v>1</v>
      </c>
      <c r="S10" s="92">
        <f t="shared" si="9"/>
        <v>1</v>
      </c>
      <c r="T10" s="95">
        <f t="shared" si="12"/>
        <v>3</v>
      </c>
      <c r="U10" s="53">
        <v>1</v>
      </c>
      <c r="V10" s="53">
        <v>7</v>
      </c>
      <c r="W10" s="53">
        <f t="shared" si="10"/>
        <v>7</v>
      </c>
      <c r="X10" s="139">
        <f t="shared" si="11"/>
        <v>2</v>
      </c>
    </row>
    <row r="11" spans="1:24" ht="15" x14ac:dyDescent="0.2">
      <c r="A11" s="117">
        <v>10</v>
      </c>
      <c r="B11" s="119" t="s">
        <v>21</v>
      </c>
      <c r="C11" s="99">
        <v>236.6</v>
      </c>
      <c r="D11" s="68">
        <f t="shared" si="0"/>
        <v>1</v>
      </c>
      <c r="E11" s="99">
        <v>42.7</v>
      </c>
      <c r="F11" s="68">
        <f t="shared" si="1"/>
        <v>2</v>
      </c>
      <c r="G11" s="103">
        <f>(6+8+6)/3</f>
        <v>6.666666666666667</v>
      </c>
      <c r="H11" s="99">
        <f>G11/4486</f>
        <v>1.486104919007282E-3</v>
      </c>
      <c r="I11" s="68">
        <f t="shared" si="2"/>
        <v>2</v>
      </c>
      <c r="J11" s="99">
        <v>12.9</v>
      </c>
      <c r="K11" s="68">
        <f t="shared" si="3"/>
        <v>1</v>
      </c>
      <c r="L11" s="70">
        <f t="shared" si="4"/>
        <v>140</v>
      </c>
      <c r="M11" s="89">
        <f t="shared" si="5"/>
        <v>1</v>
      </c>
      <c r="N11" s="87">
        <v>3</v>
      </c>
      <c r="O11" s="88">
        <f t="shared" si="6"/>
        <v>3</v>
      </c>
      <c r="P11" s="89">
        <f t="shared" si="7"/>
        <v>2</v>
      </c>
      <c r="Q11" s="48">
        <v>2.2000000000000002</v>
      </c>
      <c r="R11" s="89">
        <f t="shared" si="8"/>
        <v>2</v>
      </c>
      <c r="S11" s="92">
        <f t="shared" si="9"/>
        <v>0</v>
      </c>
      <c r="T11" s="95">
        <f t="shared" si="12"/>
        <v>2</v>
      </c>
      <c r="U11" s="53">
        <v>1</v>
      </c>
      <c r="V11" s="53">
        <v>7</v>
      </c>
      <c r="W11" s="53">
        <f t="shared" si="10"/>
        <v>7</v>
      </c>
      <c r="X11" s="139">
        <f t="shared" si="11"/>
        <v>2</v>
      </c>
    </row>
    <row r="12" spans="1:24" ht="15" x14ac:dyDescent="0.2">
      <c r="A12" s="117">
        <v>11</v>
      </c>
      <c r="B12" s="119" t="s">
        <v>22</v>
      </c>
      <c r="C12" s="99">
        <v>180</v>
      </c>
      <c r="D12" s="68">
        <f t="shared" si="0"/>
        <v>1</v>
      </c>
      <c r="E12" s="99">
        <v>15.83</v>
      </c>
      <c r="F12" s="68">
        <f t="shared" si="1"/>
        <v>1</v>
      </c>
      <c r="G12" s="103">
        <f>(7+4)/2</f>
        <v>5.5</v>
      </c>
      <c r="H12" s="99">
        <f>G12/2234</f>
        <v>2.4619516562220233E-3</v>
      </c>
      <c r="I12" s="68">
        <f t="shared" si="2"/>
        <v>2</v>
      </c>
      <c r="J12" s="99">
        <v>18.5</v>
      </c>
      <c r="K12" s="68">
        <f t="shared" si="3"/>
        <v>2</v>
      </c>
      <c r="L12" s="70">
        <f t="shared" si="4"/>
        <v>160</v>
      </c>
      <c r="M12" s="89">
        <f t="shared" si="5"/>
        <v>2</v>
      </c>
      <c r="N12" s="87">
        <v>3</v>
      </c>
      <c r="O12" s="88">
        <f t="shared" si="6"/>
        <v>6</v>
      </c>
      <c r="P12" s="89">
        <f t="shared" si="7"/>
        <v>3</v>
      </c>
      <c r="Q12" s="48">
        <v>2.6</v>
      </c>
      <c r="R12" s="89">
        <f t="shared" si="8"/>
        <v>3</v>
      </c>
      <c r="S12" s="92">
        <f t="shared" si="9"/>
        <v>0</v>
      </c>
      <c r="T12" s="94">
        <f t="shared" si="12"/>
        <v>2</v>
      </c>
      <c r="U12" s="53">
        <v>1</v>
      </c>
      <c r="V12" s="53">
        <v>7</v>
      </c>
      <c r="W12" s="53">
        <f t="shared" si="10"/>
        <v>7</v>
      </c>
      <c r="X12" s="139">
        <f t="shared" si="11"/>
        <v>2</v>
      </c>
    </row>
    <row r="13" spans="1:24" ht="15" x14ac:dyDescent="0.2">
      <c r="A13" s="117">
        <v>12</v>
      </c>
      <c r="B13" s="119" t="s">
        <v>42</v>
      </c>
      <c r="C13" s="99">
        <v>422.86</v>
      </c>
      <c r="D13" s="68">
        <f t="shared" si="0"/>
        <v>2</v>
      </c>
      <c r="E13" s="99">
        <v>34.96</v>
      </c>
      <c r="F13" s="68">
        <f t="shared" si="1"/>
        <v>2</v>
      </c>
      <c r="G13" s="103">
        <f>(82+93+47)/3</f>
        <v>74</v>
      </c>
      <c r="H13" s="99">
        <f>G13/7006</f>
        <v>1.0562375107051099E-2</v>
      </c>
      <c r="I13" s="68">
        <f t="shared" si="2"/>
        <v>4</v>
      </c>
      <c r="J13" s="99">
        <v>28.9</v>
      </c>
      <c r="K13" s="68">
        <f t="shared" si="3"/>
        <v>2</v>
      </c>
      <c r="L13" s="70">
        <f t="shared" si="4"/>
        <v>240</v>
      </c>
      <c r="M13" s="89">
        <f t="shared" si="5"/>
        <v>3</v>
      </c>
      <c r="N13" s="87">
        <v>3</v>
      </c>
      <c r="O13" s="88">
        <f t="shared" si="6"/>
        <v>9</v>
      </c>
      <c r="P13" s="89">
        <f t="shared" si="7"/>
        <v>3</v>
      </c>
      <c r="Q13" s="48">
        <v>1.4</v>
      </c>
      <c r="R13" s="89">
        <f t="shared" si="8"/>
        <v>1</v>
      </c>
      <c r="S13" s="92">
        <f t="shared" si="9"/>
        <v>2</v>
      </c>
      <c r="T13" s="94">
        <f t="shared" si="12"/>
        <v>4</v>
      </c>
      <c r="U13" s="53">
        <v>1</v>
      </c>
      <c r="V13" s="53">
        <v>7</v>
      </c>
      <c r="W13" s="53">
        <f t="shared" si="10"/>
        <v>7</v>
      </c>
      <c r="X13" s="139">
        <f t="shared" si="11"/>
        <v>2</v>
      </c>
    </row>
    <row r="14" spans="1:24" ht="15" x14ac:dyDescent="0.2">
      <c r="A14" s="117">
        <v>13</v>
      </c>
      <c r="B14" s="119" t="s">
        <v>23</v>
      </c>
      <c r="C14" s="99">
        <v>474.23</v>
      </c>
      <c r="D14" s="68">
        <f t="shared" si="0"/>
        <v>2</v>
      </c>
      <c r="E14" s="99">
        <v>109.36</v>
      </c>
      <c r="F14" s="68">
        <f t="shared" si="1"/>
        <v>4</v>
      </c>
      <c r="G14" s="103">
        <f>(8+7+24)/3</f>
        <v>13</v>
      </c>
      <c r="H14" s="99">
        <f>G14/5748</f>
        <v>2.2616562282533055E-3</v>
      </c>
      <c r="I14" s="68">
        <f t="shared" si="2"/>
        <v>2</v>
      </c>
      <c r="J14" s="99">
        <v>52.4</v>
      </c>
      <c r="K14" s="68">
        <f t="shared" si="3"/>
        <v>4</v>
      </c>
      <c r="L14" s="70">
        <f t="shared" si="4"/>
        <v>320</v>
      </c>
      <c r="M14" s="89">
        <f t="shared" si="5"/>
        <v>4</v>
      </c>
      <c r="N14" s="87">
        <v>1</v>
      </c>
      <c r="O14" s="88">
        <f t="shared" si="6"/>
        <v>4</v>
      </c>
      <c r="P14" s="89">
        <f t="shared" si="7"/>
        <v>2</v>
      </c>
      <c r="Q14" s="48">
        <v>1.8</v>
      </c>
      <c r="R14" s="89">
        <f t="shared" si="8"/>
        <v>2</v>
      </c>
      <c r="S14" s="92">
        <f t="shared" si="9"/>
        <v>0</v>
      </c>
      <c r="T14" s="94">
        <f t="shared" si="12"/>
        <v>2</v>
      </c>
      <c r="U14" s="53">
        <v>1</v>
      </c>
      <c r="V14" s="53">
        <v>7</v>
      </c>
      <c r="W14" s="53">
        <f t="shared" si="10"/>
        <v>7</v>
      </c>
      <c r="X14" s="139">
        <f t="shared" si="11"/>
        <v>2</v>
      </c>
    </row>
    <row r="15" spans="1:24" ht="15" x14ac:dyDescent="0.2">
      <c r="A15" s="117">
        <v>14</v>
      </c>
      <c r="B15" s="119" t="s">
        <v>24</v>
      </c>
      <c r="C15" s="99">
        <v>363</v>
      </c>
      <c r="D15" s="68">
        <f t="shared" si="0"/>
        <v>1</v>
      </c>
      <c r="E15" s="99">
        <v>19</v>
      </c>
      <c r="F15" s="68">
        <f t="shared" si="1"/>
        <v>1</v>
      </c>
      <c r="G15" s="103">
        <f>(27+25+33)/3</f>
        <v>28.333333333333332</v>
      </c>
      <c r="H15" s="99">
        <f>G15/6581</f>
        <v>4.305323405764068E-3</v>
      </c>
      <c r="I15" s="68">
        <f t="shared" si="2"/>
        <v>3</v>
      </c>
      <c r="J15" s="99">
        <v>60</v>
      </c>
      <c r="K15" s="68">
        <f t="shared" si="3"/>
        <v>4</v>
      </c>
      <c r="L15" s="70">
        <f t="shared" si="4"/>
        <v>260</v>
      </c>
      <c r="M15" s="89">
        <f t="shared" si="5"/>
        <v>3</v>
      </c>
      <c r="N15" s="87">
        <v>2</v>
      </c>
      <c r="O15" s="88">
        <f t="shared" si="6"/>
        <v>6</v>
      </c>
      <c r="P15" s="89">
        <f t="shared" si="7"/>
        <v>3</v>
      </c>
      <c r="Q15" s="48">
        <v>1.6</v>
      </c>
      <c r="R15" s="89">
        <f t="shared" si="8"/>
        <v>2</v>
      </c>
      <c r="S15" s="92">
        <f t="shared" si="9"/>
        <v>1</v>
      </c>
      <c r="T15" s="94">
        <f t="shared" si="12"/>
        <v>3</v>
      </c>
      <c r="U15" s="53">
        <v>1</v>
      </c>
      <c r="V15" s="53">
        <v>7</v>
      </c>
      <c r="W15" s="53">
        <f t="shared" si="10"/>
        <v>7</v>
      </c>
      <c r="X15" s="139">
        <f t="shared" si="11"/>
        <v>2</v>
      </c>
    </row>
    <row r="16" spans="1:24" ht="15" x14ac:dyDescent="0.2">
      <c r="A16" s="117">
        <v>15</v>
      </c>
      <c r="B16" s="119" t="s">
        <v>25</v>
      </c>
      <c r="C16" s="99">
        <v>243.36</v>
      </c>
      <c r="D16" s="68">
        <f t="shared" si="0"/>
        <v>1</v>
      </c>
      <c r="E16" s="99">
        <v>28.96</v>
      </c>
      <c r="F16" s="68">
        <f t="shared" si="1"/>
        <v>1</v>
      </c>
      <c r="G16" s="103">
        <f>(4+9+5)/3</f>
        <v>6</v>
      </c>
      <c r="H16" s="99">
        <f>G16/5920</f>
        <v>1.0135135135135136E-3</v>
      </c>
      <c r="I16" s="68">
        <f t="shared" si="2"/>
        <v>2</v>
      </c>
      <c r="J16" s="99">
        <v>22.9</v>
      </c>
      <c r="K16" s="68">
        <f t="shared" si="3"/>
        <v>2</v>
      </c>
      <c r="L16" s="70">
        <f t="shared" si="4"/>
        <v>160</v>
      </c>
      <c r="M16" s="89">
        <f t="shared" si="5"/>
        <v>2</v>
      </c>
      <c r="N16" s="87">
        <v>2</v>
      </c>
      <c r="O16" s="88">
        <f t="shared" si="6"/>
        <v>4</v>
      </c>
      <c r="P16" s="89">
        <f t="shared" si="7"/>
        <v>2</v>
      </c>
      <c r="Q16" s="49">
        <v>1.6</v>
      </c>
      <c r="R16" s="89">
        <f t="shared" si="8"/>
        <v>2</v>
      </c>
      <c r="S16" s="92">
        <f t="shared" si="9"/>
        <v>0</v>
      </c>
      <c r="T16" s="95">
        <f t="shared" si="12"/>
        <v>2</v>
      </c>
      <c r="U16" s="53">
        <v>1</v>
      </c>
      <c r="V16" s="53">
        <v>7</v>
      </c>
      <c r="W16" s="53">
        <f t="shared" si="10"/>
        <v>7</v>
      </c>
      <c r="X16" s="139">
        <f t="shared" si="11"/>
        <v>2</v>
      </c>
    </row>
    <row r="17" spans="1:24" ht="15" x14ac:dyDescent="0.2">
      <c r="A17" s="117">
        <v>16</v>
      </c>
      <c r="B17" s="119" t="s">
        <v>26</v>
      </c>
      <c r="C17" s="99">
        <v>493.56</v>
      </c>
      <c r="D17" s="68">
        <f t="shared" si="0"/>
        <v>2</v>
      </c>
      <c r="E17" s="99">
        <v>51.83</v>
      </c>
      <c r="F17" s="68">
        <f t="shared" si="1"/>
        <v>2</v>
      </c>
      <c r="G17" s="103">
        <f>(14+9+8)/3</f>
        <v>10.333333333333334</v>
      </c>
      <c r="H17" s="99">
        <f>G17/4609</f>
        <v>2.2419903088160848E-3</v>
      </c>
      <c r="I17" s="68">
        <f t="shared" si="2"/>
        <v>2</v>
      </c>
      <c r="J17" s="99">
        <v>22.4</v>
      </c>
      <c r="K17" s="68">
        <f t="shared" si="3"/>
        <v>2</v>
      </c>
      <c r="L17" s="70">
        <f t="shared" si="4"/>
        <v>200</v>
      </c>
      <c r="M17" s="89">
        <f t="shared" si="5"/>
        <v>2</v>
      </c>
      <c r="N17" s="87">
        <v>1</v>
      </c>
      <c r="O17" s="88">
        <f t="shared" si="6"/>
        <v>2</v>
      </c>
      <c r="P17" s="89">
        <f t="shared" si="7"/>
        <v>1</v>
      </c>
      <c r="Q17" s="48">
        <v>1.4</v>
      </c>
      <c r="R17" s="89">
        <f t="shared" si="8"/>
        <v>1</v>
      </c>
      <c r="S17" s="92">
        <f t="shared" si="9"/>
        <v>0</v>
      </c>
      <c r="T17" s="95">
        <f t="shared" si="12"/>
        <v>2</v>
      </c>
      <c r="U17" s="53">
        <v>1</v>
      </c>
      <c r="V17" s="53">
        <v>7</v>
      </c>
      <c r="W17" s="53">
        <f t="shared" si="10"/>
        <v>7</v>
      </c>
      <c r="X17" s="139">
        <f t="shared" si="11"/>
        <v>2</v>
      </c>
    </row>
    <row r="18" spans="1:24" ht="15" x14ac:dyDescent="0.2">
      <c r="A18" s="117">
        <v>17</v>
      </c>
      <c r="B18" s="119" t="s">
        <v>27</v>
      </c>
      <c r="C18" s="99">
        <v>234.83</v>
      </c>
      <c r="D18" s="68">
        <f t="shared" si="0"/>
        <v>1</v>
      </c>
      <c r="E18" s="99">
        <v>15.4</v>
      </c>
      <c r="F18" s="68">
        <f t="shared" si="1"/>
        <v>1</v>
      </c>
      <c r="G18" s="103">
        <f>(30+8+18)/3</f>
        <v>18.666666666666668</v>
      </c>
      <c r="H18" s="99">
        <f>G18/5548</f>
        <v>3.3645758231194427E-3</v>
      </c>
      <c r="I18" s="68">
        <f t="shared" si="2"/>
        <v>3</v>
      </c>
      <c r="J18" s="99">
        <v>29.6</v>
      </c>
      <c r="K18" s="68">
        <f t="shared" si="3"/>
        <v>2</v>
      </c>
      <c r="L18" s="70">
        <f t="shared" si="4"/>
        <v>180</v>
      </c>
      <c r="M18" s="89">
        <f t="shared" si="5"/>
        <v>2</v>
      </c>
      <c r="N18" s="87">
        <v>2</v>
      </c>
      <c r="O18" s="88">
        <f t="shared" si="6"/>
        <v>4</v>
      </c>
      <c r="P18" s="89">
        <f t="shared" si="7"/>
        <v>2</v>
      </c>
      <c r="Q18" s="48">
        <v>2.2000000000000002</v>
      </c>
      <c r="R18" s="89">
        <f t="shared" si="8"/>
        <v>2</v>
      </c>
      <c r="S18" s="92">
        <f t="shared" si="9"/>
        <v>0</v>
      </c>
      <c r="T18" s="95">
        <f t="shared" si="12"/>
        <v>2</v>
      </c>
      <c r="U18" s="53">
        <v>1</v>
      </c>
      <c r="V18" s="53">
        <v>7</v>
      </c>
      <c r="W18" s="53">
        <f t="shared" si="10"/>
        <v>7</v>
      </c>
      <c r="X18" s="139">
        <f t="shared" si="11"/>
        <v>2</v>
      </c>
    </row>
    <row r="19" spans="1:24" ht="15" x14ac:dyDescent="0.2">
      <c r="A19" s="117">
        <v>18</v>
      </c>
      <c r="B19" s="119" t="s">
        <v>28</v>
      </c>
      <c r="C19" s="99">
        <v>1111.3</v>
      </c>
      <c r="D19" s="68">
        <f t="shared" si="0"/>
        <v>3</v>
      </c>
      <c r="E19" s="99">
        <v>91.56</v>
      </c>
      <c r="F19" s="68">
        <f t="shared" si="1"/>
        <v>3</v>
      </c>
      <c r="G19" s="103">
        <f>(8+8+11)/3</f>
        <v>9</v>
      </c>
      <c r="H19" s="99">
        <f>G19/9176</f>
        <v>9.8081952920662597E-4</v>
      </c>
      <c r="I19" s="68">
        <f t="shared" si="2"/>
        <v>1</v>
      </c>
      <c r="J19" s="99">
        <v>38.799999999999997</v>
      </c>
      <c r="K19" s="68">
        <f t="shared" si="3"/>
        <v>3</v>
      </c>
      <c r="L19" s="70">
        <f t="shared" si="4"/>
        <v>260</v>
      </c>
      <c r="M19" s="89">
        <f t="shared" si="5"/>
        <v>3</v>
      </c>
      <c r="N19" s="87">
        <v>2</v>
      </c>
      <c r="O19" s="88">
        <f t="shared" si="6"/>
        <v>6</v>
      </c>
      <c r="P19" s="89">
        <f t="shared" si="7"/>
        <v>3</v>
      </c>
      <c r="Q19" s="48">
        <v>1.2</v>
      </c>
      <c r="R19" s="89">
        <f t="shared" si="8"/>
        <v>1</v>
      </c>
      <c r="S19" s="92">
        <f t="shared" si="9"/>
        <v>2</v>
      </c>
      <c r="T19" s="96">
        <f t="shared" si="12"/>
        <v>4</v>
      </c>
      <c r="U19" s="53">
        <v>1</v>
      </c>
      <c r="V19" s="53">
        <v>7</v>
      </c>
      <c r="W19" s="53">
        <f t="shared" si="10"/>
        <v>7</v>
      </c>
      <c r="X19" s="139">
        <f t="shared" si="11"/>
        <v>2</v>
      </c>
    </row>
    <row r="20" spans="1:24" ht="15" x14ac:dyDescent="0.2">
      <c r="A20" s="117">
        <v>19</v>
      </c>
      <c r="B20" s="119" t="s">
        <v>29</v>
      </c>
      <c r="C20" s="99">
        <v>283.89999999999998</v>
      </c>
      <c r="D20" s="68">
        <f t="shared" si="0"/>
        <v>1</v>
      </c>
      <c r="E20" s="99">
        <v>39.630000000000003</v>
      </c>
      <c r="F20" s="68">
        <f t="shared" si="1"/>
        <v>2</v>
      </c>
      <c r="G20" s="103">
        <f>(34+34+21)/3</f>
        <v>29.666666666666668</v>
      </c>
      <c r="H20" s="99">
        <f>G20/4915</f>
        <v>6.0359443879281112E-3</v>
      </c>
      <c r="I20" s="68">
        <f t="shared" si="2"/>
        <v>3</v>
      </c>
      <c r="J20" s="99">
        <v>1.5</v>
      </c>
      <c r="K20" s="68">
        <f t="shared" si="3"/>
        <v>1</v>
      </c>
      <c r="L20" s="70">
        <f t="shared" si="4"/>
        <v>160</v>
      </c>
      <c r="M20" s="89">
        <f t="shared" si="5"/>
        <v>2</v>
      </c>
      <c r="N20" s="87">
        <v>3</v>
      </c>
      <c r="O20" s="88">
        <f t="shared" si="6"/>
        <v>6</v>
      </c>
      <c r="P20" s="89">
        <f t="shared" si="7"/>
        <v>3</v>
      </c>
      <c r="Q20" s="48">
        <v>1.8</v>
      </c>
      <c r="R20" s="89">
        <f t="shared" si="8"/>
        <v>2</v>
      </c>
      <c r="S20" s="92">
        <f t="shared" si="9"/>
        <v>1</v>
      </c>
      <c r="T20" s="95">
        <f t="shared" si="12"/>
        <v>3</v>
      </c>
      <c r="U20" s="53">
        <v>1</v>
      </c>
      <c r="V20" s="53">
        <v>7</v>
      </c>
      <c r="W20" s="53">
        <f t="shared" si="10"/>
        <v>7</v>
      </c>
      <c r="X20" s="139">
        <f t="shared" si="11"/>
        <v>2</v>
      </c>
    </row>
    <row r="21" spans="1:24" ht="15" x14ac:dyDescent="0.2">
      <c r="A21" s="117">
        <v>20</v>
      </c>
      <c r="B21" s="119" t="s">
        <v>30</v>
      </c>
      <c r="C21" s="99">
        <v>185.93</v>
      </c>
      <c r="D21" s="68">
        <f t="shared" si="0"/>
        <v>1</v>
      </c>
      <c r="E21" s="99">
        <v>21.73</v>
      </c>
      <c r="F21" s="68">
        <f t="shared" si="1"/>
        <v>1</v>
      </c>
      <c r="G21" s="103">
        <f>(13+13+10)/3</f>
        <v>12</v>
      </c>
      <c r="H21" s="99">
        <f>G21/3084</f>
        <v>3.8910505836575876E-3</v>
      </c>
      <c r="I21" s="68">
        <f t="shared" si="2"/>
        <v>3</v>
      </c>
      <c r="J21" s="99">
        <v>53.4</v>
      </c>
      <c r="K21" s="68">
        <f t="shared" si="3"/>
        <v>4</v>
      </c>
      <c r="L21" s="70">
        <f t="shared" si="4"/>
        <v>260</v>
      </c>
      <c r="M21" s="89">
        <f t="shared" si="5"/>
        <v>3</v>
      </c>
      <c r="N21" s="87">
        <v>2</v>
      </c>
      <c r="O21" s="88">
        <f t="shared" si="6"/>
        <v>6</v>
      </c>
      <c r="P21" s="89">
        <f t="shared" si="7"/>
        <v>3</v>
      </c>
      <c r="Q21" s="48">
        <v>2</v>
      </c>
      <c r="R21" s="89">
        <f t="shared" si="8"/>
        <v>2</v>
      </c>
      <c r="S21" s="92">
        <f t="shared" si="9"/>
        <v>1</v>
      </c>
      <c r="T21" s="94">
        <f t="shared" si="12"/>
        <v>3</v>
      </c>
      <c r="U21" s="53">
        <v>1</v>
      </c>
      <c r="V21" s="53">
        <v>7</v>
      </c>
      <c r="W21" s="53">
        <f t="shared" si="10"/>
        <v>7</v>
      </c>
      <c r="X21" s="139">
        <f t="shared" si="11"/>
        <v>2</v>
      </c>
    </row>
    <row r="22" spans="1:24" ht="15" x14ac:dyDescent="0.2">
      <c r="A22" s="117">
        <v>21</v>
      </c>
      <c r="B22" s="119" t="s">
        <v>31</v>
      </c>
      <c r="C22" s="99">
        <v>385.9</v>
      </c>
      <c r="D22" s="68">
        <f t="shared" si="0"/>
        <v>1</v>
      </c>
      <c r="E22" s="99">
        <v>7.7</v>
      </c>
      <c r="F22" s="68">
        <f t="shared" si="1"/>
        <v>1</v>
      </c>
      <c r="G22" s="103">
        <f>(1+3+4)/3</f>
        <v>2.6666666666666665</v>
      </c>
      <c r="H22" s="99">
        <f>G22/1797</f>
        <v>1.4839547393804488E-3</v>
      </c>
      <c r="I22" s="68">
        <f t="shared" si="2"/>
        <v>2</v>
      </c>
      <c r="J22" s="99">
        <v>6.7</v>
      </c>
      <c r="K22" s="68">
        <f t="shared" si="3"/>
        <v>1</v>
      </c>
      <c r="L22" s="70">
        <f t="shared" si="4"/>
        <v>120</v>
      </c>
      <c r="M22" s="89">
        <f t="shared" si="5"/>
        <v>1</v>
      </c>
      <c r="N22" s="87">
        <v>2</v>
      </c>
      <c r="O22" s="88">
        <f t="shared" si="6"/>
        <v>2</v>
      </c>
      <c r="P22" s="89">
        <f t="shared" si="7"/>
        <v>1</v>
      </c>
      <c r="Q22" s="48">
        <v>2</v>
      </c>
      <c r="R22" s="89">
        <f t="shared" si="8"/>
        <v>2</v>
      </c>
      <c r="S22" s="92">
        <f t="shared" si="9"/>
        <v>-1</v>
      </c>
      <c r="T22" s="95">
        <f t="shared" si="12"/>
        <v>2</v>
      </c>
      <c r="U22" s="53">
        <v>1</v>
      </c>
      <c r="V22" s="53">
        <v>7</v>
      </c>
      <c r="W22" s="53">
        <f t="shared" si="10"/>
        <v>7</v>
      </c>
      <c r="X22" s="139">
        <f t="shared" si="11"/>
        <v>2</v>
      </c>
    </row>
    <row r="23" spans="1:24" ht="15" x14ac:dyDescent="0.2">
      <c r="A23" s="117">
        <v>22</v>
      </c>
      <c r="B23" s="119" t="s">
        <v>32</v>
      </c>
      <c r="C23" s="99">
        <v>5088.16</v>
      </c>
      <c r="D23" s="68">
        <f t="shared" si="0"/>
        <v>4</v>
      </c>
      <c r="E23" s="99">
        <v>44.1</v>
      </c>
      <c r="F23" s="68">
        <f t="shared" si="1"/>
        <v>2</v>
      </c>
      <c r="G23" s="103">
        <f>(319+304+330)/3</f>
        <v>317.66666666666669</v>
      </c>
      <c r="H23" s="99">
        <f>G23/76672</f>
        <v>4.1431900389538121E-3</v>
      </c>
      <c r="I23" s="68">
        <f t="shared" si="2"/>
        <v>3</v>
      </c>
      <c r="J23" s="99">
        <v>23.9</v>
      </c>
      <c r="K23" s="68">
        <f t="shared" si="3"/>
        <v>2</v>
      </c>
      <c r="L23" s="70">
        <f t="shared" si="4"/>
        <v>260</v>
      </c>
      <c r="M23" s="89">
        <f t="shared" si="5"/>
        <v>3</v>
      </c>
      <c r="N23" s="87">
        <v>2</v>
      </c>
      <c r="O23" s="88">
        <f t="shared" si="6"/>
        <v>6</v>
      </c>
      <c r="P23" s="89">
        <f t="shared" si="7"/>
        <v>3</v>
      </c>
      <c r="Q23" s="48">
        <v>2.6</v>
      </c>
      <c r="R23" s="89">
        <f t="shared" si="8"/>
        <v>3</v>
      </c>
      <c r="S23" s="92">
        <f t="shared" si="9"/>
        <v>0</v>
      </c>
      <c r="T23" s="95">
        <f t="shared" si="12"/>
        <v>2</v>
      </c>
      <c r="U23" s="53">
        <v>1</v>
      </c>
      <c r="V23" s="53">
        <v>7</v>
      </c>
      <c r="W23" s="53">
        <f t="shared" si="10"/>
        <v>7</v>
      </c>
      <c r="X23" s="139">
        <f t="shared" si="11"/>
        <v>2</v>
      </c>
    </row>
    <row r="24" spans="1:24" ht="15" x14ac:dyDescent="0.2">
      <c r="A24" s="117">
        <v>23</v>
      </c>
      <c r="B24" s="119" t="s">
        <v>33</v>
      </c>
      <c r="C24" s="99">
        <v>1104.8599999999999</v>
      </c>
      <c r="D24" s="68">
        <f t="shared" si="0"/>
        <v>3</v>
      </c>
      <c r="E24" s="99">
        <v>106.16670000000001</v>
      </c>
      <c r="F24" s="68">
        <f t="shared" si="1"/>
        <v>4</v>
      </c>
      <c r="G24" s="103">
        <f>(15+14+20)/3</f>
        <v>16.333333333333332</v>
      </c>
      <c r="H24" s="99">
        <f>G24/7164</f>
        <v>2.2799181090638375E-3</v>
      </c>
      <c r="I24" s="68">
        <f t="shared" si="2"/>
        <v>2</v>
      </c>
      <c r="J24" s="99">
        <v>5.9</v>
      </c>
      <c r="K24" s="68">
        <f t="shared" si="3"/>
        <v>1</v>
      </c>
      <c r="L24" s="70">
        <f t="shared" si="4"/>
        <v>220</v>
      </c>
      <c r="M24" s="89">
        <f t="shared" si="5"/>
        <v>2</v>
      </c>
      <c r="N24" s="87">
        <v>2</v>
      </c>
      <c r="O24" s="88">
        <f t="shared" si="6"/>
        <v>4</v>
      </c>
      <c r="P24" s="89">
        <f t="shared" si="7"/>
        <v>2</v>
      </c>
      <c r="Q24" s="48">
        <v>1.4</v>
      </c>
      <c r="R24" s="89">
        <f t="shared" si="8"/>
        <v>1</v>
      </c>
      <c r="S24" s="92">
        <f t="shared" si="9"/>
        <v>1</v>
      </c>
      <c r="T24" s="95">
        <f t="shared" si="12"/>
        <v>3</v>
      </c>
      <c r="U24" s="53">
        <v>1</v>
      </c>
      <c r="V24" s="53">
        <v>7</v>
      </c>
      <c r="W24" s="53">
        <f t="shared" si="10"/>
        <v>7</v>
      </c>
      <c r="X24" s="139">
        <f t="shared" si="11"/>
        <v>2</v>
      </c>
    </row>
    <row r="25" spans="1:24" ht="15" x14ac:dyDescent="0.2">
      <c r="A25" s="117">
        <v>24</v>
      </c>
      <c r="B25" s="119" t="s">
        <v>34</v>
      </c>
      <c r="C25" s="99">
        <v>103.23</v>
      </c>
      <c r="D25" s="68">
        <f t="shared" si="0"/>
        <v>1</v>
      </c>
      <c r="E25" s="99">
        <v>16.559999999999999</v>
      </c>
      <c r="F25" s="68">
        <f t="shared" si="1"/>
        <v>1</v>
      </c>
      <c r="G25" s="103">
        <f>(20+10+5)/3</f>
        <v>11.666666666666666</v>
      </c>
      <c r="H25" s="99">
        <f>G25/2306</f>
        <v>5.0592656837236197E-3</v>
      </c>
      <c r="I25" s="68">
        <f t="shared" si="2"/>
        <v>3</v>
      </c>
      <c r="J25" s="99">
        <v>19.8</v>
      </c>
      <c r="K25" s="68">
        <f t="shared" si="3"/>
        <v>2</v>
      </c>
      <c r="L25" s="70">
        <f t="shared" si="4"/>
        <v>180</v>
      </c>
      <c r="M25" s="89">
        <f t="shared" si="5"/>
        <v>2</v>
      </c>
      <c r="N25" s="87">
        <v>2</v>
      </c>
      <c r="O25" s="88">
        <f t="shared" si="6"/>
        <v>4</v>
      </c>
      <c r="P25" s="89">
        <f t="shared" si="7"/>
        <v>2</v>
      </c>
      <c r="Q25" s="48">
        <v>2.8</v>
      </c>
      <c r="R25" s="89">
        <f t="shared" si="8"/>
        <v>3</v>
      </c>
      <c r="S25" s="92">
        <f t="shared" si="9"/>
        <v>-1</v>
      </c>
      <c r="T25" s="95">
        <f t="shared" si="12"/>
        <v>2</v>
      </c>
      <c r="U25" s="53">
        <v>1</v>
      </c>
      <c r="V25" s="53">
        <v>7</v>
      </c>
      <c r="W25" s="53">
        <f t="shared" si="10"/>
        <v>7</v>
      </c>
      <c r="X25" s="139">
        <f t="shared" si="11"/>
        <v>2</v>
      </c>
    </row>
    <row r="26" spans="1:24" ht="15" x14ac:dyDescent="0.2">
      <c r="A26" s="117">
        <v>25</v>
      </c>
      <c r="B26" s="119" t="s">
        <v>35</v>
      </c>
      <c r="C26" s="99">
        <v>844.86</v>
      </c>
      <c r="D26" s="68">
        <f t="shared" si="0"/>
        <v>2</v>
      </c>
      <c r="E26" s="99">
        <v>28.63</v>
      </c>
      <c r="F26" s="68">
        <f t="shared" si="1"/>
        <v>1</v>
      </c>
      <c r="G26" s="103">
        <f>(24+3+16)/3</f>
        <v>14.333333333333334</v>
      </c>
      <c r="H26" s="99">
        <f>G26/10725</f>
        <v>1.3364413364413364E-3</v>
      </c>
      <c r="I26" s="68">
        <f t="shared" si="2"/>
        <v>2</v>
      </c>
      <c r="J26" s="99">
        <v>55.2</v>
      </c>
      <c r="K26" s="68">
        <f t="shared" si="3"/>
        <v>4</v>
      </c>
      <c r="L26" s="70">
        <f t="shared" si="4"/>
        <v>260</v>
      </c>
      <c r="M26" s="89">
        <f t="shared" si="5"/>
        <v>3</v>
      </c>
      <c r="N26" s="87">
        <v>1</v>
      </c>
      <c r="O26" s="88">
        <f t="shared" si="6"/>
        <v>3</v>
      </c>
      <c r="P26" s="89">
        <f t="shared" si="7"/>
        <v>2</v>
      </c>
      <c r="Q26" s="48">
        <v>2</v>
      </c>
      <c r="R26" s="89">
        <f t="shared" si="8"/>
        <v>2</v>
      </c>
      <c r="S26" s="92">
        <f t="shared" si="9"/>
        <v>0</v>
      </c>
      <c r="T26" s="95">
        <f t="shared" si="12"/>
        <v>2</v>
      </c>
      <c r="U26" s="53">
        <v>1</v>
      </c>
      <c r="V26" s="53">
        <v>7</v>
      </c>
      <c r="W26" s="53">
        <f t="shared" si="10"/>
        <v>7</v>
      </c>
      <c r="X26" s="139">
        <f t="shared" si="11"/>
        <v>2</v>
      </c>
    </row>
    <row r="27" spans="1:24" ht="15.75" thickBot="1" x14ac:dyDescent="0.25">
      <c r="A27" s="118">
        <v>26</v>
      </c>
      <c r="B27" s="121" t="s">
        <v>36</v>
      </c>
      <c r="C27" s="100">
        <v>3570.4</v>
      </c>
      <c r="D27" s="77">
        <f t="shared" si="0"/>
        <v>3</v>
      </c>
      <c r="E27" s="100">
        <v>28.66</v>
      </c>
      <c r="F27" s="77">
        <f t="shared" si="1"/>
        <v>1</v>
      </c>
      <c r="G27" s="104">
        <f>(17+27+18)/3</f>
        <v>20.666666666666668</v>
      </c>
      <c r="H27" s="100">
        <f>G27/3459</f>
        <v>5.9747518550640841E-3</v>
      </c>
      <c r="I27" s="77">
        <f t="shared" si="2"/>
        <v>3</v>
      </c>
      <c r="J27" s="100">
        <v>0.1</v>
      </c>
      <c r="K27" s="77">
        <f t="shared" si="3"/>
        <v>1</v>
      </c>
      <c r="L27" s="70">
        <f t="shared" si="4"/>
        <v>180</v>
      </c>
      <c r="M27" s="90">
        <f t="shared" si="5"/>
        <v>2</v>
      </c>
      <c r="N27" s="87">
        <v>2</v>
      </c>
      <c r="O27" s="88">
        <f t="shared" si="6"/>
        <v>4</v>
      </c>
      <c r="P27" s="90">
        <f t="shared" si="7"/>
        <v>2</v>
      </c>
      <c r="Q27" s="48">
        <v>1.4</v>
      </c>
      <c r="R27" s="90">
        <f t="shared" si="8"/>
        <v>1</v>
      </c>
      <c r="S27" s="92">
        <f t="shared" si="9"/>
        <v>1</v>
      </c>
      <c r="T27" s="97">
        <f t="shared" si="12"/>
        <v>3</v>
      </c>
      <c r="U27" s="53">
        <v>1</v>
      </c>
      <c r="V27" s="53">
        <v>7</v>
      </c>
      <c r="W27" s="53">
        <f t="shared" si="10"/>
        <v>7</v>
      </c>
      <c r="X27" s="139">
        <f t="shared" si="11"/>
        <v>2</v>
      </c>
    </row>
  </sheetData>
  <sortState xmlns:xlrd2="http://schemas.microsoft.com/office/spreadsheetml/2017/richdata2" ref="A2:X27">
    <sortCondition ref="A2:A2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81E5FB60A47449B728A9D59202553E" ma:contentTypeVersion="13" ma:contentTypeDescription="Create a new document." ma:contentTypeScope="" ma:versionID="605357ec7d0c42c67f8fdd9c41bffa46">
  <xsd:schema xmlns:xsd="http://www.w3.org/2001/XMLSchema" xmlns:xs="http://www.w3.org/2001/XMLSchema" xmlns:p="http://schemas.microsoft.com/office/2006/metadata/properties" xmlns:ns2="221a2c11-8ef1-4d41-a3ac-fc306372ca64" xmlns:ns3="5cecbd3a-56ed-480e-b254-4fe3d8d2e0d0" targetNamespace="http://schemas.microsoft.com/office/2006/metadata/properties" ma:root="true" ma:fieldsID="23c689e7d2afc830638bf90d061b60bc" ns2:_="" ns3:_="">
    <xsd:import namespace="221a2c11-8ef1-4d41-a3ac-fc306372ca64"/>
    <xsd:import namespace="5cecbd3a-56ed-480e-b254-4fe3d8d2e0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a2c11-8ef1-4d41-a3ac-fc306372ca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3060d91-620c-45e0-85bf-77e6cacf1a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cbd3a-56ed-480e-b254-4fe3d8d2e0d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1829a585-0358-4596-9d26-6ec376afd7be}" ma:internalName="TaxCatchAll" ma:showField="CatchAllData" ma:web="5cecbd3a-56ed-480e-b254-4fe3d8d2e0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ecbd3a-56ed-480e-b254-4fe3d8d2e0d0" xsi:nil="true"/>
    <lcf76f155ced4ddcb4097134ff3c332f xmlns="221a2c11-8ef1-4d41-a3ac-fc306372ca6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464AA1-D59C-4938-9273-141BBAD9DA1E}"/>
</file>

<file path=customXml/itemProps2.xml><?xml version="1.0" encoding="utf-8"?>
<ds:datastoreItem xmlns:ds="http://schemas.openxmlformats.org/officeDocument/2006/customXml" ds:itemID="{582D84F6-0DB8-4CE3-8F33-4DF0A6B47130}">
  <ds:schemaRefs>
    <ds:schemaRef ds:uri="http://www.w3.org/XML/1998/namespace"/>
    <ds:schemaRef ds:uri="5cecbd3a-56ed-480e-b254-4fe3d8d2e0d0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221a2c11-8ef1-4d41-a3ac-fc306372ca64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3C099C1-04F3-4554-B295-016C7E6AB3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POWODZIE</vt:lpstr>
      <vt:lpstr>PODTOPIENIA</vt:lpstr>
      <vt:lpstr>DESZCZE NAWALNE</vt:lpstr>
      <vt:lpstr>OKRESY BEZOPADOWE</vt:lpstr>
      <vt:lpstr>SUSZE</vt:lpstr>
      <vt:lpstr>FALE UPAŁÓW</vt:lpstr>
      <vt:lpstr>DNI GORĄCE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Anna Jagiello</cp:lastModifiedBy>
  <cp:revision/>
  <dcterms:created xsi:type="dcterms:W3CDTF">2022-06-17T11:50:53Z</dcterms:created>
  <dcterms:modified xsi:type="dcterms:W3CDTF">2023-01-30T13:54:31Z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0x010100F581E5FB60A47449B728A9D59202553E</vt:lpwstr>
  </property>
  <property fmtid="{D5CDD505-2E9C-101B-9397-08002B2CF9AE}" pid="3" name="MediaServiceImageTags">
    <vt:lpwstr/>
  </property>
</Properties>
</file>