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kovert.sharepoint.com/sites/MPAAglomeracjaJeleniogrska/Shared Documents/General/PRODUKTY/ETAP I/III ODDANIE/MACIERZE_DO_DALSZEJ_PRACY/"/>
    </mc:Choice>
  </mc:AlternateContent>
  <xr:revisionPtr revIDLastSave="39" documentId="8_{3C5B2A8C-F392-4C16-907E-A3118C4C827C}" xr6:coauthVersionLast="47" xr6:coauthVersionMax="47" xr10:uidLastSave="{BD14C61D-9D2B-4E86-A7C2-AB7C61A8658C}"/>
  <bookViews>
    <workbookView xWindow="-120" yWindow="-120" windowWidth="24240" windowHeight="13140" tabRatio="902" activeTab="2" xr2:uid="{00000000-000D-0000-FFFF-FFFF00000000}"/>
  </bookViews>
  <sheets>
    <sheet name="SUSZE" sheetId="1" r:id="rId1"/>
    <sheet name="PODTOPIENIA" sheetId="8" r:id="rId2"/>
    <sheet name="POWODZIE" sheetId="2" r:id="rId3"/>
    <sheet name="DESZCZE NAWALNE" sheetId="16" r:id="rId4"/>
    <sheet name="DEGRADACJA GEBY" sheetId="5" r:id="rId5"/>
    <sheet name="SILNE WIATRY I BURZE" sheetId="4" r:id="rId6"/>
    <sheet name="KONCENTRACJA ZANIECZYSZCZEŃ POW" sheetId="6" r:id="rId7"/>
    <sheet name="FALE UPAŁÓW" sheetId="7" r:id="rId8"/>
    <sheet name="DŁUGIE OKRESY BEZOPADOWE" sheetId="11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6" i="2" l="1"/>
  <c r="AK17" i="2"/>
  <c r="AP16" i="2"/>
  <c r="AP17" i="2"/>
  <c r="AP18" i="2"/>
  <c r="AO3" i="6"/>
  <c r="AO5" i="6"/>
  <c r="AO7" i="6"/>
  <c r="AO9" i="6"/>
  <c r="AO11" i="6"/>
  <c r="AO13" i="6"/>
  <c r="AO15" i="6"/>
  <c r="AO17" i="6"/>
  <c r="AO19" i="6"/>
  <c r="AO21" i="6"/>
  <c r="AO23" i="6"/>
  <c r="AO25" i="6"/>
  <c r="AO27" i="6"/>
  <c r="AN3" i="6"/>
  <c r="AN4" i="6"/>
  <c r="AO4" i="6" s="1"/>
  <c r="AN5" i="6"/>
  <c r="AN6" i="6"/>
  <c r="AO6" i="6" s="1"/>
  <c r="AN7" i="6"/>
  <c r="AN8" i="6"/>
  <c r="AO8" i="6" s="1"/>
  <c r="AN9" i="6"/>
  <c r="AN10" i="6"/>
  <c r="AO10" i="6" s="1"/>
  <c r="AN11" i="6"/>
  <c r="AN12" i="6"/>
  <c r="AO12" i="6" s="1"/>
  <c r="AN13" i="6"/>
  <c r="AN14" i="6"/>
  <c r="AO14" i="6" s="1"/>
  <c r="AN15" i="6"/>
  <c r="AN16" i="6"/>
  <c r="AO16" i="6" s="1"/>
  <c r="AN17" i="6"/>
  <c r="AN18" i="6"/>
  <c r="AO18" i="6" s="1"/>
  <c r="AN19" i="6"/>
  <c r="AN20" i="6"/>
  <c r="AO20" i="6" s="1"/>
  <c r="AN21" i="6"/>
  <c r="AN22" i="6"/>
  <c r="AO22" i="6" s="1"/>
  <c r="AN23" i="6"/>
  <c r="AN24" i="6"/>
  <c r="AO24" i="6" s="1"/>
  <c r="AN25" i="6"/>
  <c r="AN26" i="6"/>
  <c r="AO26" i="6" s="1"/>
  <c r="AN27" i="6"/>
  <c r="I29" i="4"/>
  <c r="L29" i="4"/>
  <c r="O29" i="4"/>
  <c r="S29" i="4"/>
  <c r="AI3" i="8" l="1"/>
  <c r="AJ3" i="8" s="1"/>
  <c r="AI4" i="8"/>
  <c r="AJ4" i="8" s="1"/>
  <c r="AI5" i="8"/>
  <c r="AJ5" i="8" s="1"/>
  <c r="AI6" i="8"/>
  <c r="AJ6" i="8" s="1"/>
  <c r="AI7" i="8"/>
  <c r="AJ7" i="8" s="1"/>
  <c r="AI8" i="8"/>
  <c r="AJ8" i="8" s="1"/>
  <c r="AI9" i="8"/>
  <c r="AJ9" i="8" s="1"/>
  <c r="AI10" i="8"/>
  <c r="AJ10" i="8" s="1"/>
  <c r="AI11" i="8"/>
  <c r="AJ11" i="8" s="1"/>
  <c r="AI12" i="8"/>
  <c r="AJ12" i="8" s="1"/>
  <c r="AI13" i="8"/>
  <c r="AJ13" i="8" s="1"/>
  <c r="AI14" i="8"/>
  <c r="AJ14" i="8" s="1"/>
  <c r="AI15" i="8"/>
  <c r="AJ15" i="8" s="1"/>
  <c r="AI16" i="8"/>
  <c r="AJ16" i="8" s="1"/>
  <c r="AI17" i="8"/>
  <c r="AJ17" i="8" s="1"/>
  <c r="AI18" i="8"/>
  <c r="AJ18" i="8" s="1"/>
  <c r="AI19" i="8"/>
  <c r="AJ19" i="8" s="1"/>
  <c r="AI20" i="8"/>
  <c r="AJ20" i="8" s="1"/>
  <c r="AI21" i="8"/>
  <c r="AJ21" i="8" s="1"/>
  <c r="AI22" i="8"/>
  <c r="AJ22" i="8" s="1"/>
  <c r="AI23" i="8"/>
  <c r="AJ23" i="8" s="1"/>
  <c r="AI24" i="8"/>
  <c r="AJ24" i="8" s="1"/>
  <c r="AI25" i="8"/>
  <c r="AJ25" i="8" s="1"/>
  <c r="AI26" i="8"/>
  <c r="AJ26" i="8" s="1"/>
  <c r="AI27" i="8"/>
  <c r="AJ27" i="8" s="1"/>
  <c r="AP4" i="2"/>
  <c r="AP8" i="2"/>
  <c r="AP12" i="2"/>
  <c r="AP20" i="2"/>
  <c r="AP24" i="2"/>
  <c r="AO3" i="2"/>
  <c r="AP3" i="2" s="1"/>
  <c r="AO4" i="2"/>
  <c r="AO5" i="2"/>
  <c r="AP5" i="2" s="1"/>
  <c r="AO6" i="2"/>
  <c r="AP6" i="2" s="1"/>
  <c r="AO7" i="2"/>
  <c r="AP7" i="2" s="1"/>
  <c r="AO8" i="2"/>
  <c r="AO9" i="2"/>
  <c r="AP9" i="2" s="1"/>
  <c r="AO10" i="2"/>
  <c r="AP10" i="2" s="1"/>
  <c r="AO11" i="2"/>
  <c r="AP11" i="2" s="1"/>
  <c r="AO12" i="2"/>
  <c r="AO13" i="2"/>
  <c r="AP13" i="2" s="1"/>
  <c r="AO14" i="2"/>
  <c r="AP14" i="2" s="1"/>
  <c r="AO15" i="2"/>
  <c r="AP15" i="2" s="1"/>
  <c r="AO16" i="2"/>
  <c r="AO17" i="2"/>
  <c r="AO18" i="2"/>
  <c r="AO19" i="2"/>
  <c r="AP19" i="2" s="1"/>
  <c r="AO20" i="2"/>
  <c r="AO21" i="2"/>
  <c r="AP21" i="2" s="1"/>
  <c r="AO22" i="2"/>
  <c r="AP22" i="2" s="1"/>
  <c r="AO23" i="2"/>
  <c r="AP23" i="2" s="1"/>
  <c r="AO24" i="2"/>
  <c r="AO25" i="2"/>
  <c r="AP25" i="2" s="1"/>
  <c r="AO26" i="2"/>
  <c r="AP26" i="2" s="1"/>
  <c r="AO27" i="2"/>
  <c r="AP27" i="2" s="1"/>
  <c r="AL3" i="1"/>
  <c r="AM3" i="1" s="1"/>
  <c r="AL4" i="1"/>
  <c r="AM4" i="1" s="1"/>
  <c r="AL5" i="1"/>
  <c r="AM5" i="1" s="1"/>
  <c r="AL6" i="1"/>
  <c r="AM6" i="1" s="1"/>
  <c r="AL7" i="1"/>
  <c r="AM7" i="1" s="1"/>
  <c r="AL8" i="1"/>
  <c r="AM8" i="1" s="1"/>
  <c r="AL9" i="1"/>
  <c r="AM9" i="1" s="1"/>
  <c r="AL10" i="1"/>
  <c r="AM10" i="1" s="1"/>
  <c r="AL11" i="1"/>
  <c r="AM11" i="1" s="1"/>
  <c r="AL12" i="1"/>
  <c r="AM12" i="1" s="1"/>
  <c r="AL13" i="1"/>
  <c r="AM13" i="1" s="1"/>
  <c r="AL14" i="1"/>
  <c r="AM14" i="1" s="1"/>
  <c r="AL15" i="1"/>
  <c r="AM15" i="1" s="1"/>
  <c r="AL16" i="1"/>
  <c r="AM16" i="1" s="1"/>
  <c r="AL17" i="1"/>
  <c r="AM17" i="1" s="1"/>
  <c r="AL18" i="1"/>
  <c r="AM18" i="1" s="1"/>
  <c r="AL19" i="1"/>
  <c r="AM19" i="1" s="1"/>
  <c r="AL20" i="1"/>
  <c r="AM20" i="1" s="1"/>
  <c r="AL21" i="1"/>
  <c r="AM21" i="1" s="1"/>
  <c r="AL22" i="1"/>
  <c r="AM22" i="1" s="1"/>
  <c r="AL23" i="1"/>
  <c r="AM23" i="1" s="1"/>
  <c r="AL24" i="1"/>
  <c r="AM24" i="1" s="1"/>
  <c r="AL25" i="1"/>
  <c r="AM25" i="1" s="1"/>
  <c r="AL26" i="1"/>
  <c r="AM26" i="1" s="1"/>
  <c r="AL27" i="1"/>
  <c r="AM27" i="1" s="1"/>
  <c r="AL4" i="11"/>
  <c r="AL8" i="11"/>
  <c r="AL12" i="11"/>
  <c r="AL16" i="11"/>
  <c r="AL20" i="11"/>
  <c r="AL24" i="11"/>
  <c r="AK3" i="11"/>
  <c r="AL3" i="11" s="1"/>
  <c r="AK4" i="11"/>
  <c r="AK5" i="11"/>
  <c r="AL5" i="11" s="1"/>
  <c r="AK6" i="11"/>
  <c r="AL6" i="11" s="1"/>
  <c r="AK7" i="11"/>
  <c r="AL7" i="11" s="1"/>
  <c r="AK8" i="11"/>
  <c r="AK9" i="11"/>
  <c r="AL9" i="11" s="1"/>
  <c r="AK10" i="11"/>
  <c r="AL10" i="11" s="1"/>
  <c r="AK11" i="11"/>
  <c r="AL11" i="11" s="1"/>
  <c r="AK12" i="11"/>
  <c r="AK13" i="11"/>
  <c r="AL13" i="11" s="1"/>
  <c r="AK14" i="11"/>
  <c r="AL14" i="11" s="1"/>
  <c r="AK15" i="11"/>
  <c r="AL15" i="11" s="1"/>
  <c r="AK16" i="11"/>
  <c r="AK17" i="11"/>
  <c r="AL17" i="11" s="1"/>
  <c r="AK18" i="11"/>
  <c r="AL18" i="11" s="1"/>
  <c r="AK19" i="11"/>
  <c r="AL19" i="11" s="1"/>
  <c r="AK20" i="11"/>
  <c r="AK21" i="11"/>
  <c r="AL21" i="11" s="1"/>
  <c r="AK22" i="11"/>
  <c r="AL22" i="11" s="1"/>
  <c r="AK23" i="11"/>
  <c r="AL23" i="11" s="1"/>
  <c r="AK24" i="11"/>
  <c r="AK25" i="11"/>
  <c r="AL25" i="11" s="1"/>
  <c r="AK26" i="11"/>
  <c r="AL26" i="11" s="1"/>
  <c r="AK27" i="11"/>
  <c r="AL27" i="11" s="1"/>
  <c r="AI3" i="7"/>
  <c r="AI4" i="7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I25" i="7"/>
  <c r="AI26" i="7"/>
  <c r="AI27" i="7"/>
  <c r="AH3" i="7"/>
  <c r="AH4" i="7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L3" i="5"/>
  <c r="AL4" i="5"/>
  <c r="AL5" i="5"/>
  <c r="AL6" i="5"/>
  <c r="AL7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K3" i="5"/>
  <c r="AK4" i="5"/>
  <c r="AK5" i="5"/>
  <c r="AK6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C3" i="4" l="1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B3" i="4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J3" i="16"/>
  <c r="AJ4" i="16"/>
  <c r="AJ5" i="16"/>
  <c r="AJ6" i="16"/>
  <c r="AJ7" i="16"/>
  <c r="AJ8" i="16"/>
  <c r="AJ9" i="16"/>
  <c r="AJ10" i="16"/>
  <c r="AJ11" i="16"/>
  <c r="AJ12" i="16"/>
  <c r="AJ13" i="16"/>
  <c r="AJ14" i="16"/>
  <c r="AJ15" i="16"/>
  <c r="AJ16" i="16"/>
  <c r="AJ17" i="16"/>
  <c r="AJ18" i="16"/>
  <c r="AJ19" i="16"/>
  <c r="AJ20" i="16"/>
  <c r="AJ21" i="16"/>
  <c r="AJ22" i="16"/>
  <c r="AJ23" i="16"/>
  <c r="AJ24" i="16"/>
  <c r="AJ25" i="16"/>
  <c r="AJ26" i="16"/>
  <c r="AJ27" i="16"/>
  <c r="AI3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K2" i="11"/>
  <c r="AL2" i="11" s="1"/>
  <c r="AH2" i="7"/>
  <c r="AI2" i="7" s="1"/>
  <c r="AN2" i="6"/>
  <c r="AO2" i="6" s="1"/>
  <c r="AK2" i="5"/>
  <c r="AL2" i="5" s="1"/>
  <c r="AB2" i="4"/>
  <c r="AC2" i="4" s="1"/>
  <c r="AI2" i="16"/>
  <c r="AJ2" i="16" s="1"/>
  <c r="AI2" i="8"/>
  <c r="AJ2" i="8" s="1"/>
  <c r="AO2" i="2"/>
  <c r="AP2" i="2" s="1"/>
  <c r="AL2" i="1"/>
  <c r="AM2" i="1" s="1"/>
  <c r="E2" i="2"/>
  <c r="AA2" i="2" s="1"/>
  <c r="AB2" i="2" s="1"/>
  <c r="E3" i="2"/>
  <c r="AA3" i="2" s="1"/>
  <c r="AB3" i="2" s="1"/>
  <c r="E4" i="2"/>
  <c r="AA4" i="2" s="1"/>
  <c r="AB4" i="2" s="1"/>
  <c r="E5" i="2"/>
  <c r="AA5" i="2" s="1"/>
  <c r="AB5" i="2" s="1"/>
  <c r="E7" i="2"/>
  <c r="AA7" i="2" s="1"/>
  <c r="AB7" i="2" s="1"/>
  <c r="E10" i="2"/>
  <c r="AA10" i="2" s="1"/>
  <c r="AB10" i="2" s="1"/>
  <c r="E11" i="2"/>
  <c r="AA11" i="2" s="1"/>
  <c r="AB11" i="2" s="1"/>
  <c r="E12" i="2"/>
  <c r="AA12" i="2" s="1"/>
  <c r="AB12" i="2" s="1"/>
  <c r="E13" i="2"/>
  <c r="AA13" i="2" s="1"/>
  <c r="AB13" i="2" s="1"/>
  <c r="E24" i="2"/>
  <c r="E25" i="2"/>
  <c r="AA25" i="2" s="1"/>
  <c r="AB25" i="2" s="1"/>
  <c r="E27" i="2"/>
  <c r="AA27" i="2" s="1"/>
  <c r="AB27" i="2" s="1"/>
  <c r="E15" i="2"/>
  <c r="AA15" i="2" s="1"/>
  <c r="AB15" i="2" s="1"/>
  <c r="E16" i="2"/>
  <c r="AA16" i="2" s="1"/>
  <c r="AB16" i="2" s="1"/>
  <c r="E17" i="2"/>
  <c r="AA17" i="2" s="1"/>
  <c r="AB17" i="2" s="1"/>
  <c r="E18" i="2"/>
  <c r="AA18" i="2" s="1"/>
  <c r="AB18" i="2" s="1"/>
  <c r="E19" i="2"/>
  <c r="AA19" i="2" s="1"/>
  <c r="AB19" i="2" s="1"/>
  <c r="E20" i="2"/>
  <c r="AA20" i="2" s="1"/>
  <c r="AB20" i="2" s="1"/>
  <c r="E21" i="2"/>
  <c r="AA21" i="2" s="1"/>
  <c r="AB21" i="2" s="1"/>
  <c r="E22" i="2"/>
  <c r="AA22" i="2" s="1"/>
  <c r="AB22" i="2" s="1"/>
  <c r="AA24" i="2"/>
  <c r="AB24" i="2" s="1"/>
  <c r="Y27" i="16" l="1"/>
  <c r="Z27" i="16" s="1"/>
  <c r="T27" i="16"/>
  <c r="U27" i="16" s="1"/>
  <c r="V27" i="16" s="1"/>
  <c r="Q27" i="16"/>
  <c r="S27" i="16" s="1"/>
  <c r="R27" i="16" s="1"/>
  <c r="N27" i="16"/>
  <c r="O27" i="16" s="1"/>
  <c r="K27" i="16"/>
  <c r="L27" i="16" s="1"/>
  <c r="H27" i="16"/>
  <c r="I27" i="16" s="1"/>
  <c r="M26" i="16"/>
  <c r="T26" i="16" s="1"/>
  <c r="E26" i="16"/>
  <c r="Q26" i="16" s="1"/>
  <c r="S26" i="16" s="1"/>
  <c r="R26" i="16" s="1"/>
  <c r="D26" i="16"/>
  <c r="Y25" i="16"/>
  <c r="Z25" i="16" s="1"/>
  <c r="T25" i="16"/>
  <c r="U25" i="16" s="1"/>
  <c r="V25" i="16" s="1"/>
  <c r="Q25" i="16"/>
  <c r="S25" i="16" s="1"/>
  <c r="R25" i="16" s="1"/>
  <c r="N25" i="16"/>
  <c r="O25" i="16" s="1"/>
  <c r="K25" i="16"/>
  <c r="L25" i="16" s="1"/>
  <c r="H25" i="16"/>
  <c r="I25" i="16" s="1"/>
  <c r="Y24" i="16"/>
  <c r="Z24" i="16" s="1"/>
  <c r="T24" i="16"/>
  <c r="U24" i="16" s="1"/>
  <c r="V24" i="16" s="1"/>
  <c r="Q24" i="16"/>
  <c r="S24" i="16" s="1"/>
  <c r="R24" i="16" s="1"/>
  <c r="N24" i="16"/>
  <c r="O24" i="16" s="1"/>
  <c r="K24" i="16"/>
  <c r="L24" i="16" s="1"/>
  <c r="H24" i="16"/>
  <c r="I24" i="16" s="1"/>
  <c r="P23" i="16"/>
  <c r="M23" i="16"/>
  <c r="J23" i="16"/>
  <c r="E23" i="16"/>
  <c r="Y23" i="16" s="1"/>
  <c r="Z23" i="16" s="1"/>
  <c r="D23" i="16"/>
  <c r="Y22" i="16"/>
  <c r="Z22" i="16" s="1"/>
  <c r="T22" i="16"/>
  <c r="U22" i="16" s="1"/>
  <c r="V22" i="16" s="1"/>
  <c r="Q22" i="16"/>
  <c r="S22" i="16" s="1"/>
  <c r="R22" i="16" s="1"/>
  <c r="N22" i="16"/>
  <c r="O22" i="16" s="1"/>
  <c r="K22" i="16"/>
  <c r="L22" i="16" s="1"/>
  <c r="H22" i="16"/>
  <c r="I22" i="16" s="1"/>
  <c r="Y21" i="16"/>
  <c r="Z21" i="16" s="1"/>
  <c r="T21" i="16"/>
  <c r="U21" i="16" s="1"/>
  <c r="V21" i="16" s="1"/>
  <c r="Q21" i="16"/>
  <c r="S21" i="16" s="1"/>
  <c r="R21" i="16" s="1"/>
  <c r="N21" i="16"/>
  <c r="O21" i="16" s="1"/>
  <c r="K21" i="16"/>
  <c r="L21" i="16" s="1"/>
  <c r="H21" i="16"/>
  <c r="I21" i="16" s="1"/>
  <c r="Y20" i="16"/>
  <c r="Z20" i="16" s="1"/>
  <c r="T20" i="16"/>
  <c r="U20" i="16" s="1"/>
  <c r="V20" i="16" s="1"/>
  <c r="Q20" i="16"/>
  <c r="S20" i="16" s="1"/>
  <c r="R20" i="16" s="1"/>
  <c r="N20" i="16"/>
  <c r="O20" i="16" s="1"/>
  <c r="K20" i="16"/>
  <c r="L20" i="16" s="1"/>
  <c r="H20" i="16"/>
  <c r="I20" i="16" s="1"/>
  <c r="Y19" i="16"/>
  <c r="Z19" i="16" s="1"/>
  <c r="T19" i="16"/>
  <c r="U19" i="16" s="1"/>
  <c r="V19" i="16" s="1"/>
  <c r="Q19" i="16"/>
  <c r="S19" i="16" s="1"/>
  <c r="R19" i="16" s="1"/>
  <c r="N19" i="16"/>
  <c r="O19" i="16" s="1"/>
  <c r="K19" i="16"/>
  <c r="L19" i="16" s="1"/>
  <c r="H19" i="16"/>
  <c r="I19" i="16" s="1"/>
  <c r="Y18" i="16"/>
  <c r="Z18" i="16" s="1"/>
  <c r="T18" i="16"/>
  <c r="U18" i="16" s="1"/>
  <c r="V18" i="16" s="1"/>
  <c r="Q18" i="16"/>
  <c r="S18" i="16" s="1"/>
  <c r="R18" i="16" s="1"/>
  <c r="N18" i="16"/>
  <c r="O18" i="16" s="1"/>
  <c r="K18" i="16"/>
  <c r="L18" i="16" s="1"/>
  <c r="H18" i="16"/>
  <c r="I18" i="16" s="1"/>
  <c r="Y17" i="16"/>
  <c r="Z17" i="16" s="1"/>
  <c r="T17" i="16"/>
  <c r="U17" i="16" s="1"/>
  <c r="V17" i="16" s="1"/>
  <c r="Q17" i="16"/>
  <c r="S17" i="16" s="1"/>
  <c r="R17" i="16" s="1"/>
  <c r="N17" i="16"/>
  <c r="O17" i="16" s="1"/>
  <c r="K17" i="16"/>
  <c r="L17" i="16" s="1"/>
  <c r="H17" i="16"/>
  <c r="I17" i="16" s="1"/>
  <c r="Y16" i="16"/>
  <c r="Z16" i="16" s="1"/>
  <c r="T16" i="16"/>
  <c r="U16" i="16" s="1"/>
  <c r="V16" i="16" s="1"/>
  <c r="Q16" i="16"/>
  <c r="S16" i="16" s="1"/>
  <c r="R16" i="16" s="1"/>
  <c r="N16" i="16"/>
  <c r="O16" i="16" s="1"/>
  <c r="K16" i="16"/>
  <c r="L16" i="16" s="1"/>
  <c r="H16" i="16"/>
  <c r="I16" i="16" s="1"/>
  <c r="Y15" i="16"/>
  <c r="Z15" i="16" s="1"/>
  <c r="T15" i="16"/>
  <c r="U15" i="16" s="1"/>
  <c r="V15" i="16" s="1"/>
  <c r="Q15" i="16"/>
  <c r="S15" i="16" s="1"/>
  <c r="R15" i="16" s="1"/>
  <c r="N15" i="16"/>
  <c r="O15" i="16" s="1"/>
  <c r="K15" i="16"/>
  <c r="L15" i="16" s="1"/>
  <c r="H15" i="16"/>
  <c r="I15" i="16" s="1"/>
  <c r="P14" i="16"/>
  <c r="M14" i="16"/>
  <c r="T14" i="16" s="1"/>
  <c r="E14" i="16"/>
  <c r="Y14" i="16" s="1"/>
  <c r="Z14" i="16" s="1"/>
  <c r="D14" i="16"/>
  <c r="Y13" i="16"/>
  <c r="Z13" i="16" s="1"/>
  <c r="T13" i="16"/>
  <c r="U13" i="16" s="1"/>
  <c r="V13" i="16" s="1"/>
  <c r="Q13" i="16"/>
  <c r="S13" i="16" s="1"/>
  <c r="R13" i="16" s="1"/>
  <c r="N13" i="16"/>
  <c r="O13" i="16" s="1"/>
  <c r="K13" i="16"/>
  <c r="L13" i="16" s="1"/>
  <c r="H13" i="16"/>
  <c r="I13" i="16" s="1"/>
  <c r="Y12" i="16"/>
  <c r="Z12" i="16" s="1"/>
  <c r="U12" i="16"/>
  <c r="V12" i="16" s="1"/>
  <c r="Q12" i="16"/>
  <c r="S12" i="16" s="1"/>
  <c r="R12" i="16" s="1"/>
  <c r="N12" i="16"/>
  <c r="O12" i="16" s="1"/>
  <c r="K12" i="16"/>
  <c r="L12" i="16" s="1"/>
  <c r="H12" i="16"/>
  <c r="I12" i="16" s="1"/>
  <c r="Y11" i="16"/>
  <c r="Z11" i="16" s="1"/>
  <c r="T11" i="16"/>
  <c r="U11" i="16" s="1"/>
  <c r="V11" i="16" s="1"/>
  <c r="Q11" i="16"/>
  <c r="S11" i="16" s="1"/>
  <c r="R11" i="16" s="1"/>
  <c r="N11" i="16"/>
  <c r="O11" i="16" s="1"/>
  <c r="K11" i="16"/>
  <c r="L11" i="16" s="1"/>
  <c r="H11" i="16"/>
  <c r="I11" i="16" s="1"/>
  <c r="Y10" i="16"/>
  <c r="Z10" i="16" s="1"/>
  <c r="T10" i="16"/>
  <c r="U10" i="16" s="1"/>
  <c r="V10" i="16" s="1"/>
  <c r="Q10" i="16"/>
  <c r="S10" i="16" s="1"/>
  <c r="R10" i="16" s="1"/>
  <c r="O10" i="16"/>
  <c r="N10" i="16"/>
  <c r="K10" i="16"/>
  <c r="L10" i="16" s="1"/>
  <c r="H10" i="16"/>
  <c r="I10" i="16" s="1"/>
  <c r="P9" i="16"/>
  <c r="M9" i="16"/>
  <c r="T9" i="16" s="1"/>
  <c r="J9" i="16"/>
  <c r="E9" i="16"/>
  <c r="Y9" i="16" s="1"/>
  <c r="Z9" i="16" s="1"/>
  <c r="D9" i="16"/>
  <c r="M8" i="16"/>
  <c r="T8" i="16" s="1"/>
  <c r="E8" i="16"/>
  <c r="Y8" i="16" s="1"/>
  <c r="Z8" i="16" s="1"/>
  <c r="D8" i="16"/>
  <c r="Y7" i="16"/>
  <c r="Z7" i="16" s="1"/>
  <c r="T7" i="16"/>
  <c r="U7" i="16" s="1"/>
  <c r="V7" i="16" s="1"/>
  <c r="Q7" i="16"/>
  <c r="S7" i="16" s="1"/>
  <c r="R7" i="16" s="1"/>
  <c r="N7" i="16"/>
  <c r="O7" i="16" s="1"/>
  <c r="K7" i="16"/>
  <c r="L7" i="16" s="1"/>
  <c r="H7" i="16"/>
  <c r="I7" i="16" s="1"/>
  <c r="M6" i="16"/>
  <c r="T6" i="16" s="1"/>
  <c r="E6" i="16"/>
  <c r="Q6" i="16" s="1"/>
  <c r="S6" i="16" s="1"/>
  <c r="R6" i="16" s="1"/>
  <c r="D6" i="16"/>
  <c r="Y5" i="16"/>
  <c r="Z5" i="16" s="1"/>
  <c r="T5" i="16"/>
  <c r="U5" i="16" s="1"/>
  <c r="V5" i="16" s="1"/>
  <c r="S5" i="16"/>
  <c r="R5" i="16" s="1"/>
  <c r="Q5" i="16"/>
  <c r="N5" i="16"/>
  <c r="O5" i="16" s="1"/>
  <c r="K5" i="16"/>
  <c r="L5" i="16" s="1"/>
  <c r="H5" i="16"/>
  <c r="I5" i="16" s="1"/>
  <c r="Y4" i="16"/>
  <c r="Z4" i="16" s="1"/>
  <c r="T4" i="16"/>
  <c r="U4" i="16" s="1"/>
  <c r="V4" i="16" s="1"/>
  <c r="Q4" i="16"/>
  <c r="S4" i="16" s="1"/>
  <c r="R4" i="16" s="1"/>
  <c r="N4" i="16"/>
  <c r="O4" i="16" s="1"/>
  <c r="K4" i="16"/>
  <c r="L4" i="16" s="1"/>
  <c r="H4" i="16"/>
  <c r="I4" i="16" s="1"/>
  <c r="Y3" i="16"/>
  <c r="Z3" i="16" s="1"/>
  <c r="T3" i="16"/>
  <c r="U3" i="16" s="1"/>
  <c r="V3" i="16" s="1"/>
  <c r="Q3" i="16"/>
  <c r="S3" i="16" s="1"/>
  <c r="R3" i="16" s="1"/>
  <c r="N3" i="16"/>
  <c r="O3" i="16" s="1"/>
  <c r="K3" i="16"/>
  <c r="L3" i="16" s="1"/>
  <c r="I3" i="16"/>
  <c r="H3" i="16"/>
  <c r="Y2" i="16"/>
  <c r="Z2" i="16" s="1"/>
  <c r="U2" i="16"/>
  <c r="V2" i="16" s="1"/>
  <c r="Q2" i="16"/>
  <c r="S2" i="16" s="1"/>
  <c r="R2" i="16" s="1"/>
  <c r="M2" i="16"/>
  <c r="N2" i="16" s="1"/>
  <c r="O2" i="16" s="1"/>
  <c r="J2" i="16"/>
  <c r="K2" i="16" s="1"/>
  <c r="L2" i="16" s="1"/>
  <c r="H2" i="16"/>
  <c r="I2" i="16" s="1"/>
  <c r="H6" i="16" l="1"/>
  <c r="I6" i="16" s="1"/>
  <c r="U6" i="16"/>
  <c r="V6" i="16" s="1"/>
  <c r="Q14" i="16"/>
  <c r="S14" i="16" s="1"/>
  <c r="R14" i="16" s="1"/>
  <c r="AA22" i="16"/>
  <c r="AA11" i="16"/>
  <c r="AB11" i="16" s="1"/>
  <c r="AD11" i="16" s="1"/>
  <c r="AE11" i="16" s="1"/>
  <c r="AF11" i="16" s="1"/>
  <c r="AA17" i="16"/>
  <c r="AB17" i="16" s="1"/>
  <c r="AD17" i="16" s="1"/>
  <c r="AE17" i="16" s="1"/>
  <c r="AF17" i="16" s="1"/>
  <c r="AA7" i="16"/>
  <c r="AA3" i="16"/>
  <c r="AB3" i="16" s="1"/>
  <c r="AD3" i="16" s="1"/>
  <c r="AE3" i="16" s="1"/>
  <c r="AF3" i="16" s="1"/>
  <c r="AA4" i="16"/>
  <c r="AB4" i="16" s="1"/>
  <c r="AD4" i="16" s="1"/>
  <c r="AE4" i="16" s="1"/>
  <c r="AF4" i="16" s="1"/>
  <c r="AA10" i="16"/>
  <c r="AB10" i="16" s="1"/>
  <c r="AD10" i="16" s="1"/>
  <c r="AE10" i="16" s="1"/>
  <c r="AF10" i="16" s="1"/>
  <c r="AA13" i="16"/>
  <c r="AB13" i="16" s="1"/>
  <c r="AD13" i="16" s="1"/>
  <c r="AE13" i="16" s="1"/>
  <c r="AF13" i="16" s="1"/>
  <c r="AA15" i="16"/>
  <c r="AB15" i="16" s="1"/>
  <c r="AD15" i="16" s="1"/>
  <c r="AE15" i="16" s="1"/>
  <c r="AF15" i="16" s="1"/>
  <c r="AA18" i="16"/>
  <c r="AB18" i="16" s="1"/>
  <c r="AD18" i="16" s="1"/>
  <c r="AE18" i="16" s="1"/>
  <c r="AF18" i="16" s="1"/>
  <c r="AA25" i="16"/>
  <c r="AB25" i="16" s="1"/>
  <c r="AD25" i="16" s="1"/>
  <c r="AE25" i="16" s="1"/>
  <c r="AF25" i="16" s="1"/>
  <c r="K8" i="16"/>
  <c r="L8" i="16" s="1"/>
  <c r="H9" i="16"/>
  <c r="I9" i="16" s="1"/>
  <c r="U9" i="16"/>
  <c r="V9" i="16" s="1"/>
  <c r="H14" i="16"/>
  <c r="I14" i="16" s="1"/>
  <c r="AA16" i="16"/>
  <c r="AA19" i="16"/>
  <c r="AA20" i="16"/>
  <c r="AB20" i="16" s="1"/>
  <c r="AD20" i="16" s="1"/>
  <c r="AE20" i="16" s="1"/>
  <c r="AF20" i="16" s="1"/>
  <c r="AA24" i="16"/>
  <c r="AB24" i="16" s="1"/>
  <c r="AD24" i="16" s="1"/>
  <c r="AE24" i="16" s="1"/>
  <c r="AF24" i="16" s="1"/>
  <c r="AA5" i="16"/>
  <c r="AB5" i="16" s="1"/>
  <c r="AD5" i="16" s="1"/>
  <c r="AE5" i="16" s="1"/>
  <c r="AF5" i="16" s="1"/>
  <c r="U14" i="16"/>
  <c r="V14" i="16" s="1"/>
  <c r="AA21" i="16"/>
  <c r="AB21" i="16" s="1"/>
  <c r="AD21" i="16" s="1"/>
  <c r="AE21" i="16" s="1"/>
  <c r="AF21" i="16" s="1"/>
  <c r="AA27" i="16"/>
  <c r="AB27" i="16" s="1"/>
  <c r="AD27" i="16" s="1"/>
  <c r="AE27" i="16" s="1"/>
  <c r="AF27" i="16" s="1"/>
  <c r="AA2" i="16"/>
  <c r="AA12" i="16"/>
  <c r="AB12" i="16" s="1"/>
  <c r="AD12" i="16" s="1"/>
  <c r="AE12" i="16" s="1"/>
  <c r="AF12" i="16" s="1"/>
  <c r="N14" i="16"/>
  <c r="O14" i="16" s="1"/>
  <c r="Q23" i="16"/>
  <c r="S23" i="16" s="1"/>
  <c r="R23" i="16" s="1"/>
  <c r="N9" i="16"/>
  <c r="O9" i="16" s="1"/>
  <c r="AB19" i="16"/>
  <c r="AD19" i="16" s="1"/>
  <c r="AE19" i="16" s="1"/>
  <c r="AF19" i="16" s="1"/>
  <c r="K23" i="16"/>
  <c r="L23" i="16" s="1"/>
  <c r="U26" i="16"/>
  <c r="V26" i="16" s="1"/>
  <c r="AB2" i="16"/>
  <c r="AD2" i="16" s="1"/>
  <c r="AE2" i="16" s="1"/>
  <c r="AF2" i="16" s="1"/>
  <c r="AB7" i="16"/>
  <c r="AD7" i="16" s="1"/>
  <c r="AE7" i="16" s="1"/>
  <c r="AF7" i="16" s="1"/>
  <c r="N6" i="16"/>
  <c r="O6" i="16" s="1"/>
  <c r="U8" i="16"/>
  <c r="V8" i="16" s="1"/>
  <c r="K9" i="16"/>
  <c r="L9" i="16" s="1"/>
  <c r="Q9" i="16"/>
  <c r="S9" i="16" s="1"/>
  <c r="R9" i="16" s="1"/>
  <c r="Y26" i="16"/>
  <c r="Z26" i="16" s="1"/>
  <c r="K26" i="16"/>
  <c r="L26" i="16" s="1"/>
  <c r="H26" i="16"/>
  <c r="I26" i="16" s="1"/>
  <c r="K6" i="16"/>
  <c r="L6" i="16" s="1"/>
  <c r="Y6" i="16"/>
  <c r="Z6" i="16" s="1"/>
  <c r="H8" i="16"/>
  <c r="I8" i="16" s="1"/>
  <c r="Q8" i="16"/>
  <c r="S8" i="16" s="1"/>
  <c r="R8" i="16" s="1"/>
  <c r="N8" i="16"/>
  <c r="O8" i="16" s="1"/>
  <c r="AB16" i="16"/>
  <c r="AD16" i="16" s="1"/>
  <c r="AE16" i="16" s="1"/>
  <c r="AF16" i="16" s="1"/>
  <c r="AB22" i="16"/>
  <c r="AD22" i="16" s="1"/>
  <c r="AE22" i="16" s="1"/>
  <c r="AF22" i="16" s="1"/>
  <c r="T23" i="16"/>
  <c r="U23" i="16" s="1"/>
  <c r="V23" i="16" s="1"/>
  <c r="N23" i="16"/>
  <c r="O23" i="16" s="1"/>
  <c r="K14" i="16"/>
  <c r="L14" i="16" s="1"/>
  <c r="N26" i="16"/>
  <c r="O26" i="16" s="1"/>
  <c r="H23" i="16"/>
  <c r="I23" i="16" s="1"/>
  <c r="Q2" i="6"/>
  <c r="AA9" i="16" l="1"/>
  <c r="AA8" i="16"/>
  <c r="AA23" i="16"/>
  <c r="AA14" i="16"/>
  <c r="AB14" i="16" s="1"/>
  <c r="AD14" i="16" s="1"/>
  <c r="AE14" i="16" s="1"/>
  <c r="AF14" i="16" s="1"/>
  <c r="AB9" i="16"/>
  <c r="AD9" i="16" s="1"/>
  <c r="AE9" i="16" s="1"/>
  <c r="AF9" i="16" s="1"/>
  <c r="AA6" i="16"/>
  <c r="AB6" i="16" s="1"/>
  <c r="AD6" i="16" s="1"/>
  <c r="AE6" i="16" s="1"/>
  <c r="AF6" i="16" s="1"/>
  <c r="AA26" i="16"/>
  <c r="AB26" i="16" s="1"/>
  <c r="AD26" i="16" s="1"/>
  <c r="AE26" i="16" s="1"/>
  <c r="AF26" i="16" s="1"/>
  <c r="AB23" i="16"/>
  <c r="AD23" i="16" s="1"/>
  <c r="AE23" i="16" s="1"/>
  <c r="AF23" i="16" s="1"/>
  <c r="AB8" i="16"/>
  <c r="AD8" i="16" s="1"/>
  <c r="AE8" i="16" s="1"/>
  <c r="AF8" i="16" s="1"/>
  <c r="K27" i="6"/>
  <c r="L27" i="6" s="1"/>
  <c r="K25" i="6"/>
  <c r="L25" i="6" s="1"/>
  <c r="K24" i="6"/>
  <c r="L24" i="6" s="1"/>
  <c r="J23" i="6"/>
  <c r="K22" i="6"/>
  <c r="L22" i="6" s="1"/>
  <c r="K21" i="6"/>
  <c r="L21" i="6" s="1"/>
  <c r="K20" i="6"/>
  <c r="L20" i="6" s="1"/>
  <c r="K19" i="6"/>
  <c r="L19" i="6" s="1"/>
  <c r="K18" i="6"/>
  <c r="L18" i="6" s="1"/>
  <c r="K17" i="6"/>
  <c r="L17" i="6" s="1"/>
  <c r="K16" i="6"/>
  <c r="L16" i="6" s="1"/>
  <c r="K15" i="6"/>
  <c r="L15" i="6" s="1"/>
  <c r="K13" i="6"/>
  <c r="L13" i="6" s="1"/>
  <c r="K12" i="6"/>
  <c r="L12" i="6" s="1"/>
  <c r="K11" i="6"/>
  <c r="L11" i="6" s="1"/>
  <c r="K10" i="6"/>
  <c r="L10" i="6" s="1"/>
  <c r="J9" i="6"/>
  <c r="K7" i="6"/>
  <c r="L7" i="6" s="1"/>
  <c r="K5" i="6"/>
  <c r="L5" i="6" s="1"/>
  <c r="K4" i="6"/>
  <c r="L4" i="6" s="1"/>
  <c r="K3" i="6"/>
  <c r="L3" i="6" s="1"/>
  <c r="J2" i="6"/>
  <c r="K2" i="6" s="1"/>
  <c r="L2" i="6" s="1"/>
  <c r="S3" i="5"/>
  <c r="S4" i="5"/>
  <c r="S5" i="5"/>
  <c r="S7" i="5"/>
  <c r="S10" i="5"/>
  <c r="S11" i="5"/>
  <c r="S12" i="5"/>
  <c r="S13" i="5"/>
  <c r="S15" i="5"/>
  <c r="S16" i="5"/>
  <c r="S17" i="5"/>
  <c r="S18" i="5"/>
  <c r="S19" i="5"/>
  <c r="S20" i="5"/>
  <c r="S21" i="5"/>
  <c r="S22" i="5"/>
  <c r="S24" i="5"/>
  <c r="S25" i="5"/>
  <c r="S27" i="5"/>
  <c r="S2" i="5"/>
  <c r="Q3" i="5"/>
  <c r="T3" i="5" s="1"/>
  <c r="T4" i="5"/>
  <c r="T5" i="5"/>
  <c r="Q7" i="5"/>
  <c r="T7" i="5" s="1"/>
  <c r="R8" i="5"/>
  <c r="R9" i="5"/>
  <c r="Q10" i="5"/>
  <c r="T10" i="5" s="1"/>
  <c r="Q11" i="5"/>
  <c r="Q12" i="5"/>
  <c r="T12" i="5" s="1"/>
  <c r="Q13" i="5"/>
  <c r="R14" i="5"/>
  <c r="Q15" i="5"/>
  <c r="T15" i="5" s="1"/>
  <c r="Q16" i="5"/>
  <c r="T16" i="5" s="1"/>
  <c r="Q17" i="5"/>
  <c r="T17" i="5" s="1"/>
  <c r="Q18" i="5"/>
  <c r="T18" i="5" s="1"/>
  <c r="Q19" i="5"/>
  <c r="T19" i="5" s="1"/>
  <c r="Q20" i="5"/>
  <c r="T20" i="5" s="1"/>
  <c r="Q21" i="5"/>
  <c r="T21" i="5" s="1"/>
  <c r="Q22" i="5"/>
  <c r="T22" i="5" s="1"/>
  <c r="R23" i="5"/>
  <c r="Q24" i="5"/>
  <c r="T24" i="5" s="1"/>
  <c r="Q25" i="5"/>
  <c r="T25" i="5" s="1"/>
  <c r="Q27" i="5"/>
  <c r="Q27" i="6"/>
  <c r="Q3" i="6"/>
  <c r="Q4" i="6"/>
  <c r="Q5" i="6"/>
  <c r="Q7" i="6"/>
  <c r="Q10" i="6"/>
  <c r="Q11" i="6"/>
  <c r="Q12" i="6"/>
  <c r="Q13" i="6"/>
  <c r="Q15" i="6"/>
  <c r="Q16" i="6"/>
  <c r="Q17" i="6"/>
  <c r="Q18" i="6"/>
  <c r="Q19" i="6"/>
  <c r="Q20" i="6"/>
  <c r="Q21" i="6"/>
  <c r="Q22" i="6"/>
  <c r="Q24" i="6"/>
  <c r="Q25" i="6"/>
  <c r="T11" i="5" l="1"/>
  <c r="T13" i="5"/>
  <c r="T27" i="5"/>
  <c r="H20" i="1"/>
  <c r="I20" i="1" s="1"/>
  <c r="O3" i="6"/>
  <c r="O4" i="6"/>
  <c r="O5" i="6"/>
  <c r="O7" i="6"/>
  <c r="O10" i="6"/>
  <c r="O11" i="6"/>
  <c r="O12" i="6"/>
  <c r="O13" i="6"/>
  <c r="O15" i="6"/>
  <c r="O16" i="6"/>
  <c r="O17" i="6"/>
  <c r="O18" i="6"/>
  <c r="O19" i="6"/>
  <c r="O20" i="6"/>
  <c r="O21" i="6"/>
  <c r="O22" i="6"/>
  <c r="O24" i="6"/>
  <c r="O25" i="6"/>
  <c r="O26" i="6"/>
  <c r="O27" i="6"/>
  <c r="O2" i="6"/>
  <c r="AA3" i="5"/>
  <c r="AA4" i="5"/>
  <c r="AA5" i="5"/>
  <c r="AA7" i="5"/>
  <c r="AA10" i="5"/>
  <c r="AA11" i="5"/>
  <c r="AA12" i="5"/>
  <c r="AA13" i="5"/>
  <c r="AA15" i="5"/>
  <c r="AA16" i="5"/>
  <c r="AA17" i="5"/>
  <c r="AA18" i="5"/>
  <c r="AA19" i="5"/>
  <c r="AA20" i="5"/>
  <c r="AA21" i="5"/>
  <c r="AA22" i="5"/>
  <c r="AA24" i="5"/>
  <c r="AA25" i="5"/>
  <c r="AA27" i="5"/>
  <c r="AA2" i="5"/>
  <c r="Y3" i="8" l="1"/>
  <c r="Y4" i="8"/>
  <c r="Y5" i="8"/>
  <c r="Y7" i="8"/>
  <c r="Y10" i="8"/>
  <c r="Y11" i="8"/>
  <c r="Y12" i="8"/>
  <c r="Y13" i="8"/>
  <c r="Y15" i="8"/>
  <c r="Y16" i="8"/>
  <c r="Y17" i="8"/>
  <c r="Y18" i="8"/>
  <c r="Y19" i="8"/>
  <c r="Y20" i="8"/>
  <c r="Y21" i="8"/>
  <c r="Y22" i="8"/>
  <c r="Y24" i="8"/>
  <c r="Y25" i="8"/>
  <c r="Y27" i="8"/>
  <c r="Y2" i="8"/>
  <c r="R3" i="4"/>
  <c r="R4" i="4"/>
  <c r="R5" i="4"/>
  <c r="R7" i="4"/>
  <c r="R10" i="4"/>
  <c r="R11" i="4"/>
  <c r="R12" i="4"/>
  <c r="R13" i="4"/>
  <c r="R15" i="4"/>
  <c r="R16" i="4"/>
  <c r="R17" i="4"/>
  <c r="R18" i="4"/>
  <c r="R19" i="4"/>
  <c r="R20" i="4"/>
  <c r="R21" i="4"/>
  <c r="R22" i="4"/>
  <c r="R24" i="4"/>
  <c r="R25" i="4"/>
  <c r="R27" i="4"/>
  <c r="R2" i="4"/>
  <c r="M26" i="6"/>
  <c r="N26" i="5"/>
  <c r="Q26" i="5" s="1"/>
  <c r="E26" i="6"/>
  <c r="D26" i="6"/>
  <c r="N26" i="2"/>
  <c r="J26" i="4"/>
  <c r="J26" i="7"/>
  <c r="M26" i="11"/>
  <c r="M26" i="8"/>
  <c r="E26" i="8"/>
  <c r="D26" i="8"/>
  <c r="E26" i="11"/>
  <c r="H26" i="11" s="1"/>
  <c r="I26" i="11" s="1"/>
  <c r="D26" i="11"/>
  <c r="E26" i="7"/>
  <c r="D26" i="7"/>
  <c r="E26" i="5"/>
  <c r="D26" i="5"/>
  <c r="E26" i="4"/>
  <c r="D26" i="4"/>
  <c r="F26" i="2"/>
  <c r="I26" i="2" s="1"/>
  <c r="J26" i="2" s="1"/>
  <c r="D26" i="2"/>
  <c r="E26" i="2" s="1"/>
  <c r="AA26" i="2" s="1"/>
  <c r="AB26" i="2" s="1"/>
  <c r="M26" i="1"/>
  <c r="E26" i="1"/>
  <c r="D26" i="1"/>
  <c r="P23" i="8"/>
  <c r="J23" i="8"/>
  <c r="S23" i="11"/>
  <c r="J23" i="11"/>
  <c r="P23" i="6"/>
  <c r="J23" i="5"/>
  <c r="S23" i="2"/>
  <c r="K23" i="2"/>
  <c r="M23" i="8"/>
  <c r="M23" i="11"/>
  <c r="J23" i="7"/>
  <c r="M23" i="7" s="1"/>
  <c r="M23" i="6"/>
  <c r="V23" i="6" s="1"/>
  <c r="N23" i="5"/>
  <c r="J23" i="4"/>
  <c r="N23" i="2"/>
  <c r="W23" i="2" s="1"/>
  <c r="M23" i="1"/>
  <c r="W23" i="1" s="1"/>
  <c r="J23" i="1"/>
  <c r="E23" i="6"/>
  <c r="K23" i="6" s="1"/>
  <c r="L23" i="6" s="1"/>
  <c r="D23" i="6"/>
  <c r="E23" i="8"/>
  <c r="D23" i="8"/>
  <c r="E23" i="11"/>
  <c r="H23" i="11" s="1"/>
  <c r="I23" i="11" s="1"/>
  <c r="D23" i="11"/>
  <c r="E23" i="7"/>
  <c r="H23" i="7" s="1"/>
  <c r="I23" i="7" s="1"/>
  <c r="D23" i="7"/>
  <c r="E23" i="5"/>
  <c r="D23" i="5"/>
  <c r="E23" i="4"/>
  <c r="D23" i="4"/>
  <c r="F23" i="2"/>
  <c r="I23" i="2" s="1"/>
  <c r="J23" i="2" s="1"/>
  <c r="D23" i="2"/>
  <c r="E23" i="2" s="1"/>
  <c r="AA23" i="2" s="1"/>
  <c r="AB23" i="2" s="1"/>
  <c r="E23" i="1"/>
  <c r="D23" i="1"/>
  <c r="P14" i="8"/>
  <c r="S14" i="11"/>
  <c r="P14" i="6"/>
  <c r="S14" i="2"/>
  <c r="M14" i="8"/>
  <c r="M14" i="11"/>
  <c r="V14" i="11" s="1"/>
  <c r="J14" i="7"/>
  <c r="S14" i="7" s="1"/>
  <c r="M14" i="6"/>
  <c r="V14" i="6" s="1"/>
  <c r="N14" i="5"/>
  <c r="J14" i="4"/>
  <c r="N14" i="2"/>
  <c r="W14" i="2" s="1"/>
  <c r="M14" i="1"/>
  <c r="W14" i="1" s="1"/>
  <c r="E14" i="6"/>
  <c r="K14" i="6" s="1"/>
  <c r="L14" i="6" s="1"/>
  <c r="D14" i="6"/>
  <c r="E14" i="8"/>
  <c r="D14" i="8"/>
  <c r="E14" i="11"/>
  <c r="H14" i="11" s="1"/>
  <c r="I14" i="11" s="1"/>
  <c r="D14" i="11"/>
  <c r="E14" i="7"/>
  <c r="D14" i="7"/>
  <c r="E14" i="5"/>
  <c r="D14" i="5"/>
  <c r="E14" i="4"/>
  <c r="D14" i="4"/>
  <c r="F14" i="2"/>
  <c r="I14" i="2" s="1"/>
  <c r="J14" i="2" s="1"/>
  <c r="D14" i="2"/>
  <c r="E14" i="2" s="1"/>
  <c r="AA14" i="2" s="1"/>
  <c r="AB14" i="2" s="1"/>
  <c r="E14" i="1"/>
  <c r="D14" i="1"/>
  <c r="P9" i="8"/>
  <c r="J9" i="8"/>
  <c r="S9" i="11"/>
  <c r="J9" i="11"/>
  <c r="P9" i="6"/>
  <c r="J9" i="5"/>
  <c r="S9" i="2"/>
  <c r="K9" i="2"/>
  <c r="J9" i="1"/>
  <c r="M9" i="11"/>
  <c r="P9" i="11" s="1"/>
  <c r="M9" i="8"/>
  <c r="T9" i="8" s="1"/>
  <c r="J9" i="7"/>
  <c r="M9" i="6"/>
  <c r="V9" i="6" s="1"/>
  <c r="N9" i="5"/>
  <c r="J9" i="4"/>
  <c r="N9" i="2"/>
  <c r="P10" i="1"/>
  <c r="M9" i="1"/>
  <c r="P9" i="1" s="1"/>
  <c r="E9" i="8"/>
  <c r="D9" i="8"/>
  <c r="E9" i="11"/>
  <c r="D9" i="11"/>
  <c r="E9" i="7"/>
  <c r="D9" i="7"/>
  <c r="E9" i="6"/>
  <c r="K9" i="6" s="1"/>
  <c r="L9" i="6" s="1"/>
  <c r="D9" i="6"/>
  <c r="E9" i="5"/>
  <c r="D9" i="5"/>
  <c r="E9" i="4"/>
  <c r="D9" i="4"/>
  <c r="F9" i="2"/>
  <c r="D9" i="2"/>
  <c r="E9" i="2" s="1"/>
  <c r="AA9" i="2" s="1"/>
  <c r="AB9" i="2" s="1"/>
  <c r="E9" i="1"/>
  <c r="D9" i="1"/>
  <c r="P8" i="6"/>
  <c r="M8" i="11"/>
  <c r="M8" i="8"/>
  <c r="T8" i="8" s="1"/>
  <c r="J8" i="7"/>
  <c r="M8" i="7" s="1"/>
  <c r="M8" i="6"/>
  <c r="Y8" i="6" s="1"/>
  <c r="N8" i="5"/>
  <c r="J8" i="4"/>
  <c r="N8" i="2"/>
  <c r="M8" i="1"/>
  <c r="P8" i="1" s="1"/>
  <c r="E8" i="6"/>
  <c r="D8" i="6"/>
  <c r="E8" i="8"/>
  <c r="D8" i="8"/>
  <c r="E8" i="11"/>
  <c r="D8" i="11"/>
  <c r="E8" i="7"/>
  <c r="D8" i="7"/>
  <c r="E8" i="5"/>
  <c r="D8" i="5"/>
  <c r="E8" i="4"/>
  <c r="D8" i="4"/>
  <c r="F8" i="2"/>
  <c r="D8" i="2"/>
  <c r="E8" i="2" s="1"/>
  <c r="AA8" i="2" s="1"/>
  <c r="AB8" i="2" s="1"/>
  <c r="M6" i="8"/>
  <c r="T6" i="8" s="1"/>
  <c r="M6" i="11"/>
  <c r="V6" i="11" s="1"/>
  <c r="J6" i="7"/>
  <c r="M6" i="7" s="1"/>
  <c r="M6" i="6"/>
  <c r="P6" i="6" s="1"/>
  <c r="N6" i="5"/>
  <c r="J6" i="4"/>
  <c r="E6" i="8"/>
  <c r="D6" i="8"/>
  <c r="E6" i="11"/>
  <c r="D6" i="11"/>
  <c r="E6" i="7"/>
  <c r="D6" i="7"/>
  <c r="E6" i="6"/>
  <c r="K6" i="6" s="1"/>
  <c r="L6" i="6" s="1"/>
  <c r="D6" i="6"/>
  <c r="E6" i="5"/>
  <c r="D6" i="5"/>
  <c r="E6" i="4"/>
  <c r="D6" i="4"/>
  <c r="N6" i="2"/>
  <c r="M6" i="1"/>
  <c r="P6" i="1" s="1"/>
  <c r="F6" i="2"/>
  <c r="D6" i="2"/>
  <c r="E6" i="2" s="1"/>
  <c r="AA6" i="2" s="1"/>
  <c r="AB6" i="2" s="1"/>
  <c r="E8" i="1"/>
  <c r="D8" i="1"/>
  <c r="E6" i="1"/>
  <c r="D6" i="1"/>
  <c r="AE2" i="2"/>
  <c r="AF2" i="2" s="1"/>
  <c r="H26" i="8" l="1"/>
  <c r="I26" i="8" s="1"/>
  <c r="H14" i="8"/>
  <c r="I14" i="8" s="1"/>
  <c r="H23" i="8"/>
  <c r="I23" i="8" s="1"/>
  <c r="Y8" i="8"/>
  <c r="K8" i="6"/>
  <c r="L8" i="6" s="1"/>
  <c r="Q26" i="6"/>
  <c r="K26" i="6"/>
  <c r="L26" i="6" s="1"/>
  <c r="T6" i="5"/>
  <c r="S9" i="5"/>
  <c r="S14" i="5"/>
  <c r="S26" i="5"/>
  <c r="S8" i="5"/>
  <c r="S23" i="5"/>
  <c r="O6" i="6"/>
  <c r="Q6" i="6"/>
  <c r="O8" i="6"/>
  <c r="Q8" i="6"/>
  <c r="O9" i="6"/>
  <c r="Q9" i="6"/>
  <c r="O23" i="6"/>
  <c r="Q23" i="6"/>
  <c r="O14" i="6"/>
  <c r="Q14" i="6"/>
  <c r="H23" i="4"/>
  <c r="I23" i="4" s="1"/>
  <c r="H26" i="4"/>
  <c r="I26" i="4" s="1"/>
  <c r="H14" i="4"/>
  <c r="I14" i="4" s="1"/>
  <c r="R8" i="4"/>
  <c r="R23" i="4"/>
  <c r="R26" i="4"/>
  <c r="R14" i="4"/>
  <c r="R6" i="4"/>
  <c r="R9" i="4"/>
  <c r="T26" i="5"/>
  <c r="Q8" i="5"/>
  <c r="V6" i="5"/>
  <c r="R6" i="5"/>
  <c r="S6" i="5" s="1"/>
  <c r="Q23" i="5"/>
  <c r="Q14" i="5"/>
  <c r="Q9" i="5"/>
  <c r="H6" i="5"/>
  <c r="I6" i="5" s="1"/>
  <c r="AA6" i="5"/>
  <c r="H23" i="5"/>
  <c r="I23" i="5" s="1"/>
  <c r="AA23" i="5"/>
  <c r="H14" i="5"/>
  <c r="I14" i="5" s="1"/>
  <c r="AA14" i="5"/>
  <c r="AA8" i="5"/>
  <c r="AA9" i="5"/>
  <c r="H26" i="5"/>
  <c r="I26" i="5" s="1"/>
  <c r="AA26" i="5"/>
  <c r="H14" i="7"/>
  <c r="I14" i="7" s="1"/>
  <c r="H26" i="7"/>
  <c r="I26" i="7" s="1"/>
  <c r="V8" i="6"/>
  <c r="H23" i="6"/>
  <c r="I23" i="6" s="1"/>
  <c r="H6" i="6"/>
  <c r="I6" i="6" s="1"/>
  <c r="H8" i="6"/>
  <c r="I8" i="6" s="1"/>
  <c r="H9" i="6"/>
  <c r="I9" i="6" s="1"/>
  <c r="H14" i="6"/>
  <c r="I14" i="6" s="1"/>
  <c r="Y23" i="8"/>
  <c r="Y26" i="8"/>
  <c r="Y14" i="8"/>
  <c r="Y6" i="8"/>
  <c r="Y9" i="8"/>
  <c r="S8" i="7"/>
  <c r="V14" i="5"/>
  <c r="P23" i="1"/>
  <c r="P14" i="1"/>
  <c r="T14" i="8"/>
  <c r="T23" i="8"/>
  <c r="V9" i="11"/>
  <c r="P6" i="11"/>
  <c r="V23" i="11"/>
  <c r="Y6" i="6"/>
  <c r="V6" i="6"/>
  <c r="Y14" i="6"/>
  <c r="Y9" i="6"/>
  <c r="V9" i="5"/>
  <c r="M6" i="4"/>
  <c r="M14" i="4"/>
  <c r="W6" i="2"/>
  <c r="W9" i="2"/>
  <c r="Q23" i="2"/>
  <c r="Y23" i="6"/>
  <c r="W8" i="2"/>
  <c r="M8" i="4"/>
  <c r="M23" i="4"/>
  <c r="M9" i="4"/>
  <c r="V8" i="5"/>
  <c r="V23" i="5"/>
  <c r="S9" i="7"/>
  <c r="M9" i="7"/>
  <c r="M14" i="7"/>
  <c r="S6" i="7"/>
  <c r="V8" i="11"/>
  <c r="P8" i="11"/>
  <c r="P14" i="11"/>
  <c r="P23" i="11"/>
  <c r="S23" i="1"/>
  <c r="W9" i="1"/>
  <c r="W8" i="1"/>
  <c r="H9" i="8"/>
  <c r="I9" i="8" s="1"/>
  <c r="H9" i="11"/>
  <c r="I9" i="11" s="1"/>
  <c r="H9" i="7"/>
  <c r="I9" i="7" s="1"/>
  <c r="H9" i="5"/>
  <c r="I9" i="5" s="1"/>
  <c r="H9" i="4"/>
  <c r="I9" i="4" s="1"/>
  <c r="I9" i="2"/>
  <c r="J9" i="2" s="1"/>
  <c r="H8" i="8"/>
  <c r="I8" i="8" s="1"/>
  <c r="H8" i="11"/>
  <c r="I8" i="11" s="1"/>
  <c r="H8" i="7"/>
  <c r="I8" i="7" s="1"/>
  <c r="H8" i="5"/>
  <c r="I8" i="5" s="1"/>
  <c r="H8" i="4"/>
  <c r="I8" i="4" s="1"/>
  <c r="I8" i="2"/>
  <c r="J8" i="2" s="1"/>
  <c r="H6" i="8"/>
  <c r="I6" i="8" s="1"/>
  <c r="H6" i="11"/>
  <c r="I6" i="11" s="1"/>
  <c r="H6" i="7"/>
  <c r="I6" i="7" s="1"/>
  <c r="H6" i="4"/>
  <c r="I6" i="4" s="1"/>
  <c r="Q6" i="2"/>
  <c r="I6" i="2"/>
  <c r="J6" i="2" s="1"/>
  <c r="T9" i="5" l="1"/>
  <c r="T8" i="5"/>
  <c r="T14" i="5"/>
  <c r="T23" i="5"/>
  <c r="AB2" i="1" l="1"/>
  <c r="AC2" i="1" s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S16" i="7"/>
  <c r="T16" i="7" s="1"/>
  <c r="U16" i="7" s="1"/>
  <c r="AE3" i="2"/>
  <c r="AF3" i="2" s="1"/>
  <c r="AE4" i="2"/>
  <c r="AF4" i="2" s="1"/>
  <c r="AE5" i="2"/>
  <c r="AF5" i="2" s="1"/>
  <c r="AE6" i="2"/>
  <c r="AF6" i="2" s="1"/>
  <c r="AE7" i="2"/>
  <c r="AF7" i="2" s="1"/>
  <c r="AE8" i="2"/>
  <c r="AF8" i="2" s="1"/>
  <c r="AE9" i="2"/>
  <c r="AF9" i="2" s="1"/>
  <c r="AE10" i="2"/>
  <c r="AF10" i="2" s="1"/>
  <c r="AE11" i="2"/>
  <c r="AF11" i="2" s="1"/>
  <c r="AE12" i="2"/>
  <c r="AF12" i="2" s="1"/>
  <c r="AE13" i="2"/>
  <c r="AF13" i="2" s="1"/>
  <c r="AE14" i="2"/>
  <c r="AF14" i="2" s="1"/>
  <c r="AE15" i="2"/>
  <c r="AF15" i="2" s="1"/>
  <c r="AE16" i="2"/>
  <c r="AF16" i="2" s="1"/>
  <c r="AE17" i="2"/>
  <c r="AF17" i="2" s="1"/>
  <c r="AE18" i="2"/>
  <c r="AF18" i="2" s="1"/>
  <c r="AE19" i="2"/>
  <c r="AF19" i="2" s="1"/>
  <c r="AE20" i="2"/>
  <c r="AF20" i="2" s="1"/>
  <c r="AE21" i="2"/>
  <c r="AF21" i="2" s="1"/>
  <c r="AE22" i="2"/>
  <c r="AF22" i="2" s="1"/>
  <c r="AE23" i="2"/>
  <c r="AF23" i="2" s="1"/>
  <c r="AE24" i="2"/>
  <c r="AF24" i="2" s="1"/>
  <c r="AE25" i="2"/>
  <c r="AF25" i="2" s="1"/>
  <c r="AE26" i="2"/>
  <c r="AF26" i="2" s="1"/>
  <c r="AE27" i="2"/>
  <c r="AF27" i="2" s="1"/>
  <c r="W16" i="2"/>
  <c r="X16" i="2" s="1"/>
  <c r="Y16" i="2" s="1"/>
  <c r="T16" i="8"/>
  <c r="U16" i="8" s="1"/>
  <c r="V16" i="8" s="1"/>
  <c r="V16" i="11"/>
  <c r="W16" i="11" s="1"/>
  <c r="X16" i="1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  <c r="K3" i="1"/>
  <c r="L3" i="1" s="1"/>
  <c r="J2" i="1"/>
  <c r="K2" i="1" s="1"/>
  <c r="L2" i="1" s="1"/>
  <c r="W12" i="1"/>
  <c r="W16" i="1"/>
  <c r="Z27" i="8"/>
  <c r="T27" i="8"/>
  <c r="U27" i="8" s="1"/>
  <c r="V27" i="8" s="1"/>
  <c r="Q27" i="8"/>
  <c r="S27" i="8" s="1"/>
  <c r="R27" i="8" s="1"/>
  <c r="N27" i="8"/>
  <c r="O27" i="8" s="1"/>
  <c r="K27" i="8"/>
  <c r="L27" i="8" s="1"/>
  <c r="H27" i="8"/>
  <c r="I27" i="8" s="1"/>
  <c r="Z26" i="8"/>
  <c r="T26" i="8"/>
  <c r="U26" i="8" s="1"/>
  <c r="V26" i="8" s="1"/>
  <c r="Q26" i="8"/>
  <c r="S26" i="8" s="1"/>
  <c r="R26" i="8" s="1"/>
  <c r="N26" i="8"/>
  <c r="O26" i="8" s="1"/>
  <c r="K26" i="8"/>
  <c r="L26" i="8" s="1"/>
  <c r="Z25" i="8"/>
  <c r="T25" i="8"/>
  <c r="U25" i="8" s="1"/>
  <c r="V25" i="8" s="1"/>
  <c r="Q25" i="8"/>
  <c r="S25" i="8" s="1"/>
  <c r="R25" i="8" s="1"/>
  <c r="N25" i="8"/>
  <c r="O25" i="8" s="1"/>
  <c r="K25" i="8"/>
  <c r="L25" i="8" s="1"/>
  <c r="H25" i="8"/>
  <c r="I25" i="8" s="1"/>
  <c r="Z24" i="8"/>
  <c r="T24" i="8"/>
  <c r="U24" i="8" s="1"/>
  <c r="V24" i="8" s="1"/>
  <c r="Q24" i="8"/>
  <c r="S24" i="8" s="1"/>
  <c r="R24" i="8" s="1"/>
  <c r="N24" i="8"/>
  <c r="O24" i="8" s="1"/>
  <c r="K24" i="8"/>
  <c r="L24" i="8" s="1"/>
  <c r="H24" i="8"/>
  <c r="I24" i="8" s="1"/>
  <c r="Z23" i="8"/>
  <c r="U23" i="8"/>
  <c r="V23" i="8" s="1"/>
  <c r="Q23" i="8"/>
  <c r="S23" i="8" s="1"/>
  <c r="R23" i="8" s="1"/>
  <c r="N23" i="8"/>
  <c r="O23" i="8" s="1"/>
  <c r="K23" i="8"/>
  <c r="L23" i="8" s="1"/>
  <c r="Z22" i="8"/>
  <c r="T22" i="8"/>
  <c r="U22" i="8" s="1"/>
  <c r="V22" i="8" s="1"/>
  <c r="Q22" i="8"/>
  <c r="S22" i="8" s="1"/>
  <c r="R22" i="8" s="1"/>
  <c r="N22" i="8"/>
  <c r="O22" i="8" s="1"/>
  <c r="K22" i="8"/>
  <c r="L22" i="8" s="1"/>
  <c r="H22" i="8"/>
  <c r="I22" i="8" s="1"/>
  <c r="Z21" i="8"/>
  <c r="T21" i="8"/>
  <c r="U21" i="8" s="1"/>
  <c r="V21" i="8" s="1"/>
  <c r="Q21" i="8"/>
  <c r="S21" i="8" s="1"/>
  <c r="R21" i="8" s="1"/>
  <c r="N21" i="8"/>
  <c r="O21" i="8" s="1"/>
  <c r="K21" i="8"/>
  <c r="L21" i="8" s="1"/>
  <c r="H21" i="8"/>
  <c r="I21" i="8" s="1"/>
  <c r="Z20" i="8"/>
  <c r="T20" i="8"/>
  <c r="U20" i="8" s="1"/>
  <c r="V20" i="8" s="1"/>
  <c r="Q20" i="8"/>
  <c r="S20" i="8" s="1"/>
  <c r="R20" i="8" s="1"/>
  <c r="N20" i="8"/>
  <c r="O20" i="8" s="1"/>
  <c r="K20" i="8"/>
  <c r="L20" i="8" s="1"/>
  <c r="H20" i="8"/>
  <c r="I20" i="8" s="1"/>
  <c r="Z19" i="8"/>
  <c r="T19" i="8"/>
  <c r="U19" i="8" s="1"/>
  <c r="V19" i="8" s="1"/>
  <c r="Q19" i="8"/>
  <c r="S19" i="8" s="1"/>
  <c r="R19" i="8" s="1"/>
  <c r="N19" i="8"/>
  <c r="O19" i="8" s="1"/>
  <c r="K19" i="8"/>
  <c r="L19" i="8" s="1"/>
  <c r="H19" i="8"/>
  <c r="I19" i="8" s="1"/>
  <c r="Z18" i="8"/>
  <c r="T18" i="8"/>
  <c r="U18" i="8" s="1"/>
  <c r="V18" i="8" s="1"/>
  <c r="Q18" i="8"/>
  <c r="S18" i="8" s="1"/>
  <c r="R18" i="8" s="1"/>
  <c r="N18" i="8"/>
  <c r="O18" i="8" s="1"/>
  <c r="K18" i="8"/>
  <c r="L18" i="8" s="1"/>
  <c r="H18" i="8"/>
  <c r="I18" i="8" s="1"/>
  <c r="Z17" i="8"/>
  <c r="T17" i="8"/>
  <c r="U17" i="8" s="1"/>
  <c r="V17" i="8" s="1"/>
  <c r="Q17" i="8"/>
  <c r="S17" i="8" s="1"/>
  <c r="R17" i="8" s="1"/>
  <c r="N17" i="8"/>
  <c r="O17" i="8" s="1"/>
  <c r="K17" i="8"/>
  <c r="L17" i="8" s="1"/>
  <c r="H17" i="8"/>
  <c r="I17" i="8" s="1"/>
  <c r="Z16" i="8"/>
  <c r="Q16" i="8"/>
  <c r="S16" i="8" s="1"/>
  <c r="R16" i="8" s="1"/>
  <c r="N16" i="8"/>
  <c r="O16" i="8" s="1"/>
  <c r="K16" i="8"/>
  <c r="L16" i="8" s="1"/>
  <c r="H16" i="8"/>
  <c r="I16" i="8" s="1"/>
  <c r="Z15" i="8"/>
  <c r="T15" i="8"/>
  <c r="U15" i="8" s="1"/>
  <c r="V15" i="8" s="1"/>
  <c r="Q15" i="8"/>
  <c r="S15" i="8" s="1"/>
  <c r="R15" i="8" s="1"/>
  <c r="N15" i="8"/>
  <c r="O15" i="8" s="1"/>
  <c r="K15" i="8"/>
  <c r="L15" i="8" s="1"/>
  <c r="H15" i="8"/>
  <c r="I15" i="8" s="1"/>
  <c r="Z14" i="8"/>
  <c r="U14" i="8"/>
  <c r="V14" i="8" s="1"/>
  <c r="Q14" i="8"/>
  <c r="S14" i="8" s="1"/>
  <c r="R14" i="8" s="1"/>
  <c r="N14" i="8"/>
  <c r="O14" i="8" s="1"/>
  <c r="K14" i="8"/>
  <c r="L14" i="8" s="1"/>
  <c r="Z13" i="8"/>
  <c r="T13" i="8"/>
  <c r="U13" i="8" s="1"/>
  <c r="V13" i="8" s="1"/>
  <c r="Q13" i="8"/>
  <c r="S13" i="8" s="1"/>
  <c r="R13" i="8" s="1"/>
  <c r="N13" i="8"/>
  <c r="O13" i="8" s="1"/>
  <c r="K13" i="8"/>
  <c r="L13" i="8" s="1"/>
  <c r="H13" i="8"/>
  <c r="I13" i="8" s="1"/>
  <c r="Z12" i="8"/>
  <c r="U12" i="8"/>
  <c r="V12" i="8" s="1"/>
  <c r="Q12" i="8"/>
  <c r="S12" i="8" s="1"/>
  <c r="R12" i="8" s="1"/>
  <c r="N12" i="8"/>
  <c r="O12" i="8" s="1"/>
  <c r="K12" i="8"/>
  <c r="L12" i="8" s="1"/>
  <c r="H12" i="8"/>
  <c r="I12" i="8" s="1"/>
  <c r="Z11" i="8"/>
  <c r="T11" i="8"/>
  <c r="U11" i="8" s="1"/>
  <c r="V11" i="8" s="1"/>
  <c r="Q11" i="8"/>
  <c r="S11" i="8" s="1"/>
  <c r="R11" i="8" s="1"/>
  <c r="N11" i="8"/>
  <c r="O11" i="8" s="1"/>
  <c r="K11" i="8"/>
  <c r="L11" i="8" s="1"/>
  <c r="H11" i="8"/>
  <c r="I11" i="8" s="1"/>
  <c r="Z10" i="8"/>
  <c r="T10" i="8"/>
  <c r="U10" i="8" s="1"/>
  <c r="V10" i="8" s="1"/>
  <c r="Q10" i="8"/>
  <c r="S10" i="8" s="1"/>
  <c r="R10" i="8" s="1"/>
  <c r="N10" i="8"/>
  <c r="O10" i="8" s="1"/>
  <c r="K10" i="8"/>
  <c r="L10" i="8" s="1"/>
  <c r="H10" i="8"/>
  <c r="I10" i="8" s="1"/>
  <c r="Z9" i="8"/>
  <c r="U9" i="8"/>
  <c r="V9" i="8" s="1"/>
  <c r="Q9" i="8"/>
  <c r="S9" i="8" s="1"/>
  <c r="R9" i="8" s="1"/>
  <c r="N9" i="8"/>
  <c r="O9" i="8" s="1"/>
  <c r="K9" i="8"/>
  <c r="L9" i="8" s="1"/>
  <c r="Z8" i="8"/>
  <c r="U8" i="8"/>
  <c r="V8" i="8" s="1"/>
  <c r="Q8" i="8"/>
  <c r="S8" i="8" s="1"/>
  <c r="R8" i="8" s="1"/>
  <c r="N8" i="8"/>
  <c r="O8" i="8" s="1"/>
  <c r="K8" i="8"/>
  <c r="L8" i="8" s="1"/>
  <c r="Z7" i="8"/>
  <c r="T7" i="8"/>
  <c r="U7" i="8" s="1"/>
  <c r="V7" i="8" s="1"/>
  <c r="Q7" i="8"/>
  <c r="S7" i="8" s="1"/>
  <c r="R7" i="8" s="1"/>
  <c r="N7" i="8"/>
  <c r="O7" i="8" s="1"/>
  <c r="K7" i="8"/>
  <c r="L7" i="8" s="1"/>
  <c r="H7" i="8"/>
  <c r="I7" i="8" s="1"/>
  <c r="Z6" i="8"/>
  <c r="U6" i="8"/>
  <c r="V6" i="8" s="1"/>
  <c r="Q6" i="8"/>
  <c r="S6" i="8" s="1"/>
  <c r="R6" i="8" s="1"/>
  <c r="N6" i="8"/>
  <c r="O6" i="8" s="1"/>
  <c r="K6" i="8"/>
  <c r="L6" i="8" s="1"/>
  <c r="Z5" i="8"/>
  <c r="T5" i="8"/>
  <c r="U5" i="8" s="1"/>
  <c r="V5" i="8" s="1"/>
  <c r="Q5" i="8"/>
  <c r="S5" i="8" s="1"/>
  <c r="R5" i="8" s="1"/>
  <c r="N5" i="8"/>
  <c r="O5" i="8" s="1"/>
  <c r="K5" i="8"/>
  <c r="L5" i="8" s="1"/>
  <c r="H5" i="8"/>
  <c r="I5" i="8" s="1"/>
  <c r="Z4" i="8"/>
  <c r="T4" i="8"/>
  <c r="U4" i="8" s="1"/>
  <c r="V4" i="8" s="1"/>
  <c r="Q4" i="8"/>
  <c r="S4" i="8" s="1"/>
  <c r="R4" i="8" s="1"/>
  <c r="N4" i="8"/>
  <c r="O4" i="8" s="1"/>
  <c r="K4" i="8"/>
  <c r="L4" i="8" s="1"/>
  <c r="H4" i="8"/>
  <c r="I4" i="8" s="1"/>
  <c r="Z3" i="8"/>
  <c r="T3" i="8"/>
  <c r="U3" i="8" s="1"/>
  <c r="V3" i="8" s="1"/>
  <c r="Q3" i="8"/>
  <c r="S3" i="8" s="1"/>
  <c r="R3" i="8" s="1"/>
  <c r="N3" i="8"/>
  <c r="O3" i="8" s="1"/>
  <c r="K3" i="8"/>
  <c r="L3" i="8" s="1"/>
  <c r="H3" i="8"/>
  <c r="I3" i="8" s="1"/>
  <c r="Z2" i="8"/>
  <c r="U2" i="8"/>
  <c r="V2" i="8" s="1"/>
  <c r="Q2" i="8"/>
  <c r="S2" i="8" s="1"/>
  <c r="R2" i="8" s="1"/>
  <c r="M2" i="8"/>
  <c r="J2" i="8"/>
  <c r="K2" i="8" s="1"/>
  <c r="L2" i="8" s="1"/>
  <c r="H2" i="8"/>
  <c r="I2" i="8" s="1"/>
  <c r="AA27" i="11"/>
  <c r="AB27" i="11" s="1"/>
  <c r="V27" i="11"/>
  <c r="W27" i="11" s="1"/>
  <c r="X27" i="11" s="1"/>
  <c r="T27" i="11"/>
  <c r="U27" i="11" s="1"/>
  <c r="P27" i="11"/>
  <c r="Q27" i="11" s="1"/>
  <c r="R27" i="11" s="1"/>
  <c r="N27" i="11"/>
  <c r="O27" i="11" s="1"/>
  <c r="K27" i="11"/>
  <c r="L27" i="11" s="1"/>
  <c r="H27" i="11"/>
  <c r="I27" i="11" s="1"/>
  <c r="AA26" i="11"/>
  <c r="AB26" i="11" s="1"/>
  <c r="V26" i="11"/>
  <c r="W26" i="11" s="1"/>
  <c r="X26" i="11" s="1"/>
  <c r="T26" i="11"/>
  <c r="U26" i="11" s="1"/>
  <c r="P26" i="11"/>
  <c r="Q26" i="11" s="1"/>
  <c r="R26" i="11" s="1"/>
  <c r="N26" i="11"/>
  <c r="O26" i="11" s="1"/>
  <c r="K26" i="11"/>
  <c r="L26" i="11" s="1"/>
  <c r="AA25" i="11"/>
  <c r="AB25" i="11" s="1"/>
  <c r="V25" i="11"/>
  <c r="W25" i="11" s="1"/>
  <c r="X25" i="11" s="1"/>
  <c r="T25" i="11"/>
  <c r="U25" i="11" s="1"/>
  <c r="P25" i="11"/>
  <c r="Q25" i="11" s="1"/>
  <c r="R25" i="11" s="1"/>
  <c r="N25" i="11"/>
  <c r="O25" i="11" s="1"/>
  <c r="K25" i="11"/>
  <c r="L25" i="11" s="1"/>
  <c r="H25" i="11"/>
  <c r="I25" i="11" s="1"/>
  <c r="AA24" i="11"/>
  <c r="AB24" i="11" s="1"/>
  <c r="V24" i="11"/>
  <c r="W24" i="11" s="1"/>
  <c r="X24" i="11" s="1"/>
  <c r="T24" i="11"/>
  <c r="U24" i="11" s="1"/>
  <c r="P24" i="11"/>
  <c r="Q24" i="11" s="1"/>
  <c r="R24" i="11" s="1"/>
  <c r="N24" i="11"/>
  <c r="O24" i="11" s="1"/>
  <c r="K24" i="11"/>
  <c r="L24" i="11" s="1"/>
  <c r="H24" i="11"/>
  <c r="I24" i="11" s="1"/>
  <c r="AA23" i="11"/>
  <c r="AB23" i="11" s="1"/>
  <c r="W23" i="11"/>
  <c r="X23" i="11" s="1"/>
  <c r="T23" i="11"/>
  <c r="U23" i="11" s="1"/>
  <c r="Q23" i="11"/>
  <c r="R23" i="11" s="1"/>
  <c r="N23" i="11"/>
  <c r="O23" i="11" s="1"/>
  <c r="K23" i="11"/>
  <c r="L23" i="11" s="1"/>
  <c r="AA22" i="11"/>
  <c r="AB22" i="11" s="1"/>
  <c r="V22" i="11"/>
  <c r="W22" i="11" s="1"/>
  <c r="X22" i="11" s="1"/>
  <c r="T22" i="11"/>
  <c r="U22" i="11" s="1"/>
  <c r="P22" i="11"/>
  <c r="Q22" i="11" s="1"/>
  <c r="R22" i="11" s="1"/>
  <c r="N22" i="11"/>
  <c r="O22" i="11" s="1"/>
  <c r="K22" i="11"/>
  <c r="L22" i="11" s="1"/>
  <c r="H22" i="11"/>
  <c r="I22" i="11" s="1"/>
  <c r="AA21" i="11"/>
  <c r="AB21" i="11" s="1"/>
  <c r="V21" i="11"/>
  <c r="W21" i="11" s="1"/>
  <c r="X21" i="11" s="1"/>
  <c r="T21" i="11"/>
  <c r="U21" i="11" s="1"/>
  <c r="P21" i="11"/>
  <c r="Q21" i="11" s="1"/>
  <c r="R21" i="11" s="1"/>
  <c r="N21" i="11"/>
  <c r="O21" i="11" s="1"/>
  <c r="K21" i="11"/>
  <c r="L21" i="11" s="1"/>
  <c r="H21" i="11"/>
  <c r="I21" i="11" s="1"/>
  <c r="AA20" i="11"/>
  <c r="AB20" i="11" s="1"/>
  <c r="V20" i="11"/>
  <c r="W20" i="11" s="1"/>
  <c r="X20" i="11" s="1"/>
  <c r="T20" i="11"/>
  <c r="U20" i="11" s="1"/>
  <c r="P20" i="11"/>
  <c r="Q20" i="11" s="1"/>
  <c r="R20" i="11" s="1"/>
  <c r="N20" i="11"/>
  <c r="O20" i="11" s="1"/>
  <c r="K20" i="11"/>
  <c r="L20" i="11" s="1"/>
  <c r="H20" i="11"/>
  <c r="I20" i="11" s="1"/>
  <c r="AA19" i="11"/>
  <c r="AB19" i="11" s="1"/>
  <c r="V19" i="11"/>
  <c r="W19" i="11" s="1"/>
  <c r="X19" i="11" s="1"/>
  <c r="T19" i="11"/>
  <c r="U19" i="11" s="1"/>
  <c r="P19" i="11"/>
  <c r="Q19" i="11" s="1"/>
  <c r="R19" i="11" s="1"/>
  <c r="N19" i="11"/>
  <c r="O19" i="11" s="1"/>
  <c r="K19" i="11"/>
  <c r="L19" i="11" s="1"/>
  <c r="H19" i="11"/>
  <c r="I19" i="11" s="1"/>
  <c r="AA18" i="11"/>
  <c r="AB18" i="11" s="1"/>
  <c r="V18" i="11"/>
  <c r="W18" i="11" s="1"/>
  <c r="X18" i="11" s="1"/>
  <c r="T18" i="11"/>
  <c r="U18" i="11" s="1"/>
  <c r="P18" i="11"/>
  <c r="Q18" i="11" s="1"/>
  <c r="R18" i="11" s="1"/>
  <c r="N18" i="11"/>
  <c r="O18" i="11" s="1"/>
  <c r="K18" i="11"/>
  <c r="L18" i="11" s="1"/>
  <c r="H18" i="11"/>
  <c r="I18" i="11" s="1"/>
  <c r="AA17" i="11"/>
  <c r="AB17" i="11" s="1"/>
  <c r="V17" i="11"/>
  <c r="W17" i="11" s="1"/>
  <c r="X17" i="11" s="1"/>
  <c r="T17" i="11"/>
  <c r="U17" i="11" s="1"/>
  <c r="P17" i="11"/>
  <c r="Q17" i="11" s="1"/>
  <c r="R17" i="11" s="1"/>
  <c r="N17" i="11"/>
  <c r="O17" i="11" s="1"/>
  <c r="K17" i="11"/>
  <c r="L17" i="11" s="1"/>
  <c r="H17" i="11"/>
  <c r="I17" i="11" s="1"/>
  <c r="AA16" i="11"/>
  <c r="AB16" i="11" s="1"/>
  <c r="T16" i="11"/>
  <c r="U16" i="11" s="1"/>
  <c r="P16" i="11"/>
  <c r="Q16" i="11" s="1"/>
  <c r="R16" i="11" s="1"/>
  <c r="N16" i="11"/>
  <c r="O16" i="11" s="1"/>
  <c r="K16" i="11"/>
  <c r="L16" i="11" s="1"/>
  <c r="H16" i="11"/>
  <c r="I16" i="11" s="1"/>
  <c r="AA15" i="11"/>
  <c r="AB15" i="11" s="1"/>
  <c r="V15" i="11"/>
  <c r="W15" i="11" s="1"/>
  <c r="X15" i="11" s="1"/>
  <c r="T15" i="11"/>
  <c r="U15" i="11" s="1"/>
  <c r="P15" i="11"/>
  <c r="Q15" i="11" s="1"/>
  <c r="R15" i="11" s="1"/>
  <c r="N15" i="11"/>
  <c r="O15" i="11" s="1"/>
  <c r="K15" i="11"/>
  <c r="L15" i="11" s="1"/>
  <c r="H15" i="11"/>
  <c r="I15" i="11" s="1"/>
  <c r="AA14" i="11"/>
  <c r="AB14" i="11" s="1"/>
  <c r="W14" i="11"/>
  <c r="X14" i="11" s="1"/>
  <c r="T14" i="11"/>
  <c r="U14" i="11" s="1"/>
  <c r="Q14" i="11"/>
  <c r="R14" i="11" s="1"/>
  <c r="N14" i="11"/>
  <c r="O14" i="11" s="1"/>
  <c r="K14" i="11"/>
  <c r="L14" i="11" s="1"/>
  <c r="AA13" i="11"/>
  <c r="AB13" i="11" s="1"/>
  <c r="V13" i="11"/>
  <c r="W13" i="11" s="1"/>
  <c r="X13" i="11" s="1"/>
  <c r="T13" i="11"/>
  <c r="U13" i="11" s="1"/>
  <c r="P13" i="11"/>
  <c r="Q13" i="11" s="1"/>
  <c r="R13" i="11" s="1"/>
  <c r="N13" i="11"/>
  <c r="O13" i="11" s="1"/>
  <c r="K13" i="11"/>
  <c r="L13" i="11" s="1"/>
  <c r="H13" i="11"/>
  <c r="I13" i="11" s="1"/>
  <c r="AA12" i="11"/>
  <c r="AB12" i="11" s="1"/>
  <c r="W12" i="11"/>
  <c r="X12" i="11" s="1"/>
  <c r="T12" i="11"/>
  <c r="U12" i="11" s="1"/>
  <c r="P12" i="11"/>
  <c r="Q12" i="11" s="1"/>
  <c r="R12" i="11" s="1"/>
  <c r="N12" i="11"/>
  <c r="O12" i="11" s="1"/>
  <c r="K12" i="11"/>
  <c r="L12" i="11" s="1"/>
  <c r="H12" i="11"/>
  <c r="I12" i="11" s="1"/>
  <c r="AA11" i="11"/>
  <c r="AB11" i="11" s="1"/>
  <c r="V11" i="11"/>
  <c r="W11" i="11" s="1"/>
  <c r="X11" i="11" s="1"/>
  <c r="T11" i="11"/>
  <c r="U11" i="11" s="1"/>
  <c r="P11" i="11"/>
  <c r="Q11" i="11" s="1"/>
  <c r="R11" i="11" s="1"/>
  <c r="N11" i="11"/>
  <c r="O11" i="11" s="1"/>
  <c r="K11" i="11"/>
  <c r="L11" i="11" s="1"/>
  <c r="H11" i="11"/>
  <c r="I11" i="11" s="1"/>
  <c r="AA10" i="11"/>
  <c r="AB10" i="11" s="1"/>
  <c r="V10" i="11"/>
  <c r="W10" i="11" s="1"/>
  <c r="X10" i="11" s="1"/>
  <c r="T10" i="11"/>
  <c r="U10" i="11" s="1"/>
  <c r="P10" i="11"/>
  <c r="Q10" i="11" s="1"/>
  <c r="R10" i="11" s="1"/>
  <c r="N10" i="11"/>
  <c r="O10" i="11" s="1"/>
  <c r="K10" i="11"/>
  <c r="L10" i="11" s="1"/>
  <c r="H10" i="11"/>
  <c r="I10" i="11" s="1"/>
  <c r="AA9" i="11"/>
  <c r="AB9" i="11" s="1"/>
  <c r="T9" i="11"/>
  <c r="U9" i="11" s="1"/>
  <c r="K9" i="11"/>
  <c r="L9" i="11" s="1"/>
  <c r="AA8" i="11"/>
  <c r="AB8" i="11" s="1"/>
  <c r="W8" i="11"/>
  <c r="X8" i="11" s="1"/>
  <c r="T8" i="11"/>
  <c r="U8" i="11" s="1"/>
  <c r="Q8" i="11"/>
  <c r="R8" i="11" s="1"/>
  <c r="N8" i="11"/>
  <c r="O8" i="11" s="1"/>
  <c r="K8" i="11"/>
  <c r="L8" i="11" s="1"/>
  <c r="AA7" i="11"/>
  <c r="AB7" i="11" s="1"/>
  <c r="V7" i="11"/>
  <c r="W7" i="11" s="1"/>
  <c r="X7" i="11" s="1"/>
  <c r="T7" i="11"/>
  <c r="U7" i="11" s="1"/>
  <c r="P7" i="11"/>
  <c r="Q7" i="11" s="1"/>
  <c r="R7" i="11" s="1"/>
  <c r="N7" i="11"/>
  <c r="O7" i="11" s="1"/>
  <c r="K7" i="11"/>
  <c r="L7" i="11" s="1"/>
  <c r="H7" i="11"/>
  <c r="I7" i="11" s="1"/>
  <c r="AA6" i="11"/>
  <c r="AB6" i="11" s="1"/>
  <c r="W6" i="11"/>
  <c r="X6" i="11" s="1"/>
  <c r="T6" i="11"/>
  <c r="U6" i="11" s="1"/>
  <c r="Q6" i="11"/>
  <c r="R6" i="11" s="1"/>
  <c r="N6" i="11"/>
  <c r="O6" i="11" s="1"/>
  <c r="K6" i="11"/>
  <c r="L6" i="11" s="1"/>
  <c r="AA5" i="11"/>
  <c r="AB5" i="11" s="1"/>
  <c r="V5" i="11"/>
  <c r="W5" i="11" s="1"/>
  <c r="X5" i="11" s="1"/>
  <c r="T5" i="11"/>
  <c r="U5" i="11" s="1"/>
  <c r="Q5" i="11"/>
  <c r="R5" i="11" s="1"/>
  <c r="N5" i="11"/>
  <c r="O5" i="11" s="1"/>
  <c r="K5" i="11"/>
  <c r="L5" i="11" s="1"/>
  <c r="H5" i="11"/>
  <c r="I5" i="11" s="1"/>
  <c r="AA4" i="11"/>
  <c r="AB4" i="11" s="1"/>
  <c r="V4" i="11"/>
  <c r="W4" i="11" s="1"/>
  <c r="X4" i="11" s="1"/>
  <c r="T4" i="11"/>
  <c r="U4" i="11" s="1"/>
  <c r="P4" i="11"/>
  <c r="Q4" i="11" s="1"/>
  <c r="R4" i="11" s="1"/>
  <c r="N4" i="11"/>
  <c r="O4" i="11" s="1"/>
  <c r="K4" i="11"/>
  <c r="L4" i="11" s="1"/>
  <c r="H4" i="11"/>
  <c r="I4" i="11" s="1"/>
  <c r="AA3" i="11"/>
  <c r="AB3" i="11" s="1"/>
  <c r="V3" i="11"/>
  <c r="W3" i="11" s="1"/>
  <c r="X3" i="11" s="1"/>
  <c r="T3" i="11"/>
  <c r="U3" i="11" s="1"/>
  <c r="P3" i="11"/>
  <c r="Q3" i="11" s="1"/>
  <c r="R3" i="11" s="1"/>
  <c r="N3" i="11"/>
  <c r="O3" i="11" s="1"/>
  <c r="K3" i="11"/>
  <c r="L3" i="11" s="1"/>
  <c r="H3" i="11"/>
  <c r="I3" i="11" s="1"/>
  <c r="AA2" i="11"/>
  <c r="AB2" i="11" s="1"/>
  <c r="W2" i="11"/>
  <c r="X2" i="11" s="1"/>
  <c r="T2" i="11"/>
  <c r="U2" i="11" s="1"/>
  <c r="M2" i="11"/>
  <c r="P2" i="11" s="1"/>
  <c r="Q2" i="11" s="1"/>
  <c r="R2" i="11" s="1"/>
  <c r="J2" i="11"/>
  <c r="K2" i="11" s="1"/>
  <c r="L2" i="11" s="1"/>
  <c r="H2" i="11"/>
  <c r="I2" i="11" s="1"/>
  <c r="X27" i="7"/>
  <c r="Y27" i="7" s="1"/>
  <c r="S27" i="7"/>
  <c r="T27" i="7" s="1"/>
  <c r="U27" i="7" s="1"/>
  <c r="P27" i="7"/>
  <c r="Q27" i="7" s="1"/>
  <c r="R27" i="7" s="1"/>
  <c r="M27" i="7"/>
  <c r="N27" i="7" s="1"/>
  <c r="O27" i="7" s="1"/>
  <c r="K27" i="7"/>
  <c r="L27" i="7" s="1"/>
  <c r="H27" i="7"/>
  <c r="I27" i="7" s="1"/>
  <c r="X26" i="7"/>
  <c r="Y26" i="7" s="1"/>
  <c r="S26" i="7"/>
  <c r="T26" i="7" s="1"/>
  <c r="U26" i="7" s="1"/>
  <c r="P26" i="7"/>
  <c r="Q26" i="7" s="1"/>
  <c r="R26" i="7" s="1"/>
  <c r="M26" i="7"/>
  <c r="N26" i="7" s="1"/>
  <c r="O26" i="7" s="1"/>
  <c r="K26" i="7"/>
  <c r="L26" i="7" s="1"/>
  <c r="X25" i="7"/>
  <c r="Y25" i="7" s="1"/>
  <c r="S25" i="7"/>
  <c r="T25" i="7" s="1"/>
  <c r="U25" i="7" s="1"/>
  <c r="P25" i="7"/>
  <c r="Q25" i="7" s="1"/>
  <c r="R25" i="7" s="1"/>
  <c r="M25" i="7"/>
  <c r="N25" i="7" s="1"/>
  <c r="O25" i="7" s="1"/>
  <c r="K25" i="7"/>
  <c r="L25" i="7" s="1"/>
  <c r="H25" i="7"/>
  <c r="I25" i="7" s="1"/>
  <c r="X24" i="7"/>
  <c r="Y24" i="7" s="1"/>
  <c r="S24" i="7"/>
  <c r="T24" i="7" s="1"/>
  <c r="U24" i="7" s="1"/>
  <c r="P24" i="7"/>
  <c r="Q24" i="7" s="1"/>
  <c r="R24" i="7" s="1"/>
  <c r="M24" i="7"/>
  <c r="N24" i="7" s="1"/>
  <c r="O24" i="7" s="1"/>
  <c r="K24" i="7"/>
  <c r="L24" i="7" s="1"/>
  <c r="H24" i="7"/>
  <c r="I24" i="7" s="1"/>
  <c r="X23" i="7"/>
  <c r="Y23" i="7" s="1"/>
  <c r="S23" i="7"/>
  <c r="T23" i="7" s="1"/>
  <c r="U23" i="7" s="1"/>
  <c r="P23" i="7"/>
  <c r="Q23" i="7" s="1"/>
  <c r="R23" i="7" s="1"/>
  <c r="K23" i="7"/>
  <c r="L23" i="7" s="1"/>
  <c r="X22" i="7"/>
  <c r="Y22" i="7" s="1"/>
  <c r="S22" i="7"/>
  <c r="T22" i="7" s="1"/>
  <c r="U22" i="7" s="1"/>
  <c r="P22" i="7"/>
  <c r="Q22" i="7" s="1"/>
  <c r="R22" i="7" s="1"/>
  <c r="M22" i="7"/>
  <c r="N22" i="7" s="1"/>
  <c r="O22" i="7" s="1"/>
  <c r="K22" i="7"/>
  <c r="L22" i="7" s="1"/>
  <c r="H22" i="7"/>
  <c r="I22" i="7" s="1"/>
  <c r="X21" i="7"/>
  <c r="Y21" i="7" s="1"/>
  <c r="S21" i="7"/>
  <c r="T21" i="7" s="1"/>
  <c r="U21" i="7" s="1"/>
  <c r="P21" i="7"/>
  <c r="Q21" i="7" s="1"/>
  <c r="R21" i="7" s="1"/>
  <c r="M21" i="7"/>
  <c r="N21" i="7" s="1"/>
  <c r="O21" i="7" s="1"/>
  <c r="K21" i="7"/>
  <c r="L21" i="7" s="1"/>
  <c r="H21" i="7"/>
  <c r="I21" i="7" s="1"/>
  <c r="X20" i="7"/>
  <c r="Y20" i="7" s="1"/>
  <c r="S20" i="7"/>
  <c r="T20" i="7" s="1"/>
  <c r="U20" i="7" s="1"/>
  <c r="P20" i="7"/>
  <c r="Q20" i="7" s="1"/>
  <c r="R20" i="7" s="1"/>
  <c r="M20" i="7"/>
  <c r="N20" i="7" s="1"/>
  <c r="O20" i="7" s="1"/>
  <c r="K20" i="7"/>
  <c r="L20" i="7" s="1"/>
  <c r="H20" i="7"/>
  <c r="I20" i="7" s="1"/>
  <c r="X19" i="7"/>
  <c r="Y19" i="7" s="1"/>
  <c r="S19" i="7"/>
  <c r="T19" i="7" s="1"/>
  <c r="U19" i="7" s="1"/>
  <c r="P19" i="7"/>
  <c r="Q19" i="7" s="1"/>
  <c r="R19" i="7" s="1"/>
  <c r="M19" i="7"/>
  <c r="N19" i="7" s="1"/>
  <c r="O19" i="7" s="1"/>
  <c r="K19" i="7"/>
  <c r="L19" i="7" s="1"/>
  <c r="H19" i="7"/>
  <c r="I19" i="7" s="1"/>
  <c r="X18" i="7"/>
  <c r="Y18" i="7" s="1"/>
  <c r="S18" i="7"/>
  <c r="T18" i="7" s="1"/>
  <c r="U18" i="7" s="1"/>
  <c r="P18" i="7"/>
  <c r="Q18" i="7" s="1"/>
  <c r="R18" i="7" s="1"/>
  <c r="M18" i="7"/>
  <c r="N18" i="7" s="1"/>
  <c r="O18" i="7" s="1"/>
  <c r="K18" i="7"/>
  <c r="L18" i="7" s="1"/>
  <c r="H18" i="7"/>
  <c r="I18" i="7" s="1"/>
  <c r="X17" i="7"/>
  <c r="Y17" i="7" s="1"/>
  <c r="S17" i="7"/>
  <c r="T17" i="7" s="1"/>
  <c r="U17" i="7" s="1"/>
  <c r="P17" i="7"/>
  <c r="Q17" i="7" s="1"/>
  <c r="R17" i="7" s="1"/>
  <c r="M17" i="7"/>
  <c r="N17" i="7" s="1"/>
  <c r="O17" i="7" s="1"/>
  <c r="K17" i="7"/>
  <c r="L17" i="7" s="1"/>
  <c r="H17" i="7"/>
  <c r="I17" i="7" s="1"/>
  <c r="X16" i="7"/>
  <c r="Y16" i="7" s="1"/>
  <c r="P16" i="7"/>
  <c r="Q16" i="7" s="1"/>
  <c r="R16" i="7" s="1"/>
  <c r="M16" i="7"/>
  <c r="N16" i="7" s="1"/>
  <c r="O16" i="7" s="1"/>
  <c r="K16" i="7"/>
  <c r="L16" i="7" s="1"/>
  <c r="H16" i="7"/>
  <c r="I16" i="7" s="1"/>
  <c r="X15" i="7"/>
  <c r="Y15" i="7" s="1"/>
  <c r="S15" i="7"/>
  <c r="T15" i="7" s="1"/>
  <c r="U15" i="7" s="1"/>
  <c r="P15" i="7"/>
  <c r="Q15" i="7" s="1"/>
  <c r="R15" i="7" s="1"/>
  <c r="M15" i="7"/>
  <c r="N15" i="7" s="1"/>
  <c r="O15" i="7" s="1"/>
  <c r="K15" i="7"/>
  <c r="L15" i="7" s="1"/>
  <c r="H15" i="7"/>
  <c r="I15" i="7" s="1"/>
  <c r="X14" i="7"/>
  <c r="Y14" i="7" s="1"/>
  <c r="T14" i="7"/>
  <c r="U14" i="7" s="1"/>
  <c r="P14" i="7"/>
  <c r="Q14" i="7" s="1"/>
  <c r="R14" i="7" s="1"/>
  <c r="K14" i="7"/>
  <c r="L14" i="7" s="1"/>
  <c r="X13" i="7"/>
  <c r="Y13" i="7" s="1"/>
  <c r="S13" i="7"/>
  <c r="T13" i="7" s="1"/>
  <c r="U13" i="7" s="1"/>
  <c r="P13" i="7"/>
  <c r="Q13" i="7" s="1"/>
  <c r="R13" i="7" s="1"/>
  <c r="M13" i="7"/>
  <c r="N13" i="7" s="1"/>
  <c r="O13" i="7" s="1"/>
  <c r="K13" i="7"/>
  <c r="L13" i="7" s="1"/>
  <c r="H13" i="7"/>
  <c r="I13" i="7" s="1"/>
  <c r="X12" i="7"/>
  <c r="Y12" i="7" s="1"/>
  <c r="T12" i="7"/>
  <c r="U12" i="7" s="1"/>
  <c r="P12" i="7"/>
  <c r="Q12" i="7" s="1"/>
  <c r="R12" i="7" s="1"/>
  <c r="M12" i="7"/>
  <c r="N12" i="7" s="1"/>
  <c r="O12" i="7" s="1"/>
  <c r="K12" i="7"/>
  <c r="L12" i="7" s="1"/>
  <c r="H12" i="7"/>
  <c r="I12" i="7" s="1"/>
  <c r="X11" i="7"/>
  <c r="Y11" i="7" s="1"/>
  <c r="S11" i="7"/>
  <c r="T11" i="7" s="1"/>
  <c r="U11" i="7" s="1"/>
  <c r="P11" i="7"/>
  <c r="Q11" i="7" s="1"/>
  <c r="R11" i="7" s="1"/>
  <c r="M11" i="7"/>
  <c r="N11" i="7" s="1"/>
  <c r="O11" i="7" s="1"/>
  <c r="K11" i="7"/>
  <c r="L11" i="7" s="1"/>
  <c r="H11" i="7"/>
  <c r="I11" i="7" s="1"/>
  <c r="X10" i="7"/>
  <c r="Y10" i="7" s="1"/>
  <c r="S10" i="7"/>
  <c r="T10" i="7" s="1"/>
  <c r="U10" i="7" s="1"/>
  <c r="P10" i="7"/>
  <c r="Q10" i="7" s="1"/>
  <c r="R10" i="7" s="1"/>
  <c r="M10" i="7"/>
  <c r="N10" i="7" s="1"/>
  <c r="O10" i="7" s="1"/>
  <c r="K10" i="7"/>
  <c r="L10" i="7" s="1"/>
  <c r="H10" i="7"/>
  <c r="I10" i="7" s="1"/>
  <c r="X9" i="7"/>
  <c r="Y9" i="7" s="1"/>
  <c r="T9" i="7"/>
  <c r="U9" i="7" s="1"/>
  <c r="P9" i="7"/>
  <c r="Q9" i="7" s="1"/>
  <c r="R9" i="7" s="1"/>
  <c r="K9" i="7"/>
  <c r="L9" i="7" s="1"/>
  <c r="X8" i="7"/>
  <c r="Y8" i="7" s="1"/>
  <c r="T8" i="7"/>
  <c r="U8" i="7" s="1"/>
  <c r="P8" i="7"/>
  <c r="Q8" i="7" s="1"/>
  <c r="R8" i="7" s="1"/>
  <c r="K8" i="7"/>
  <c r="L8" i="7" s="1"/>
  <c r="X7" i="7"/>
  <c r="Y7" i="7" s="1"/>
  <c r="S7" i="7"/>
  <c r="T7" i="7" s="1"/>
  <c r="U7" i="7" s="1"/>
  <c r="P7" i="7"/>
  <c r="Q7" i="7" s="1"/>
  <c r="R7" i="7" s="1"/>
  <c r="M7" i="7"/>
  <c r="N7" i="7" s="1"/>
  <c r="O7" i="7" s="1"/>
  <c r="K7" i="7"/>
  <c r="L7" i="7" s="1"/>
  <c r="H7" i="7"/>
  <c r="I7" i="7" s="1"/>
  <c r="X6" i="7"/>
  <c r="Y6" i="7" s="1"/>
  <c r="T6" i="7"/>
  <c r="U6" i="7" s="1"/>
  <c r="P6" i="7"/>
  <c r="Q6" i="7" s="1"/>
  <c r="R6" i="7" s="1"/>
  <c r="N6" i="7"/>
  <c r="O6" i="7" s="1"/>
  <c r="K6" i="7"/>
  <c r="L6" i="7" s="1"/>
  <c r="X5" i="7"/>
  <c r="Y5" i="7" s="1"/>
  <c r="S5" i="7"/>
  <c r="T5" i="7" s="1"/>
  <c r="U5" i="7" s="1"/>
  <c r="P5" i="7"/>
  <c r="Q5" i="7" s="1"/>
  <c r="R5" i="7" s="1"/>
  <c r="N5" i="7"/>
  <c r="O5" i="7" s="1"/>
  <c r="K5" i="7"/>
  <c r="L5" i="7" s="1"/>
  <c r="H5" i="7"/>
  <c r="I5" i="7" s="1"/>
  <c r="X4" i="7"/>
  <c r="Y4" i="7" s="1"/>
  <c r="S4" i="7"/>
  <c r="T4" i="7" s="1"/>
  <c r="U4" i="7" s="1"/>
  <c r="P4" i="7"/>
  <c r="Q4" i="7" s="1"/>
  <c r="R4" i="7" s="1"/>
  <c r="M4" i="7"/>
  <c r="N4" i="7" s="1"/>
  <c r="O4" i="7" s="1"/>
  <c r="K4" i="7"/>
  <c r="L4" i="7" s="1"/>
  <c r="H4" i="7"/>
  <c r="I4" i="7" s="1"/>
  <c r="X3" i="7"/>
  <c r="Y3" i="7" s="1"/>
  <c r="S3" i="7"/>
  <c r="T3" i="7" s="1"/>
  <c r="U3" i="7" s="1"/>
  <c r="P3" i="7"/>
  <c r="Q3" i="7" s="1"/>
  <c r="R3" i="7" s="1"/>
  <c r="M3" i="7"/>
  <c r="N3" i="7" s="1"/>
  <c r="O3" i="7" s="1"/>
  <c r="K3" i="7"/>
  <c r="L3" i="7" s="1"/>
  <c r="H3" i="7"/>
  <c r="I3" i="7" s="1"/>
  <c r="X2" i="7"/>
  <c r="Y2" i="7" s="1"/>
  <c r="T2" i="7"/>
  <c r="U2" i="7" s="1"/>
  <c r="J2" i="7"/>
  <c r="M2" i="7" s="1"/>
  <c r="N2" i="7" s="1"/>
  <c r="O2" i="7" s="1"/>
  <c r="H2" i="7"/>
  <c r="I2" i="7" s="1"/>
  <c r="AD27" i="6"/>
  <c r="AE27" i="6" s="1"/>
  <c r="Y27" i="6"/>
  <c r="Z27" i="6" s="1"/>
  <c r="AA27" i="6" s="1"/>
  <c r="V27" i="6"/>
  <c r="W27" i="6" s="1"/>
  <c r="X27" i="6" s="1"/>
  <c r="R27" i="6"/>
  <c r="S27" i="6" s="1"/>
  <c r="U27" i="6" s="1"/>
  <c r="T27" i="6" s="1"/>
  <c r="N27" i="6"/>
  <c r="H27" i="6"/>
  <c r="I27" i="6" s="1"/>
  <c r="AD26" i="6"/>
  <c r="AE26" i="6" s="1"/>
  <c r="Y26" i="6"/>
  <c r="Z26" i="6" s="1"/>
  <c r="AA26" i="6" s="1"/>
  <c r="V26" i="6"/>
  <c r="W26" i="6" s="1"/>
  <c r="X26" i="6" s="1"/>
  <c r="R26" i="6"/>
  <c r="S26" i="6" s="1"/>
  <c r="U26" i="6" s="1"/>
  <c r="T26" i="6" s="1"/>
  <c r="N26" i="6"/>
  <c r="H26" i="6"/>
  <c r="I26" i="6" s="1"/>
  <c r="AD25" i="6"/>
  <c r="AE25" i="6" s="1"/>
  <c r="Y25" i="6"/>
  <c r="Z25" i="6" s="1"/>
  <c r="AA25" i="6" s="1"/>
  <c r="V25" i="6"/>
  <c r="W25" i="6" s="1"/>
  <c r="X25" i="6" s="1"/>
  <c r="R25" i="6"/>
  <c r="S25" i="6" s="1"/>
  <c r="U25" i="6" s="1"/>
  <c r="T25" i="6" s="1"/>
  <c r="N25" i="6"/>
  <c r="H25" i="6"/>
  <c r="I25" i="6" s="1"/>
  <c r="AD24" i="6"/>
  <c r="AE24" i="6" s="1"/>
  <c r="Y24" i="6"/>
  <c r="Z24" i="6" s="1"/>
  <c r="AA24" i="6" s="1"/>
  <c r="V24" i="6"/>
  <c r="W24" i="6" s="1"/>
  <c r="X24" i="6" s="1"/>
  <c r="R24" i="6"/>
  <c r="S24" i="6" s="1"/>
  <c r="U24" i="6" s="1"/>
  <c r="T24" i="6" s="1"/>
  <c r="N24" i="6"/>
  <c r="H24" i="6"/>
  <c r="I24" i="6" s="1"/>
  <c r="AD23" i="6"/>
  <c r="AE23" i="6" s="1"/>
  <c r="Z23" i="6"/>
  <c r="AA23" i="6" s="1"/>
  <c r="R23" i="6"/>
  <c r="S23" i="6" s="1"/>
  <c r="U23" i="6" s="1"/>
  <c r="T23" i="6" s="1"/>
  <c r="N23" i="6"/>
  <c r="AD22" i="6"/>
  <c r="AE22" i="6" s="1"/>
  <c r="Y22" i="6"/>
  <c r="Z22" i="6" s="1"/>
  <c r="AA22" i="6" s="1"/>
  <c r="V22" i="6"/>
  <c r="W22" i="6" s="1"/>
  <c r="X22" i="6" s="1"/>
  <c r="R22" i="6"/>
  <c r="S22" i="6" s="1"/>
  <c r="U22" i="6" s="1"/>
  <c r="T22" i="6" s="1"/>
  <c r="N22" i="6"/>
  <c r="H22" i="6"/>
  <c r="I22" i="6" s="1"/>
  <c r="AD21" i="6"/>
  <c r="AE21" i="6" s="1"/>
  <c r="Y21" i="6"/>
  <c r="Z21" i="6" s="1"/>
  <c r="AA21" i="6" s="1"/>
  <c r="V21" i="6"/>
  <c r="W21" i="6" s="1"/>
  <c r="X21" i="6" s="1"/>
  <c r="R21" i="6"/>
  <c r="S21" i="6" s="1"/>
  <c r="U21" i="6" s="1"/>
  <c r="T21" i="6" s="1"/>
  <c r="N21" i="6"/>
  <c r="H21" i="6"/>
  <c r="I21" i="6" s="1"/>
  <c r="AD20" i="6"/>
  <c r="AE20" i="6" s="1"/>
  <c r="Y20" i="6"/>
  <c r="Z20" i="6" s="1"/>
  <c r="AA20" i="6" s="1"/>
  <c r="V20" i="6"/>
  <c r="W20" i="6" s="1"/>
  <c r="X20" i="6" s="1"/>
  <c r="R20" i="6"/>
  <c r="S20" i="6" s="1"/>
  <c r="U20" i="6" s="1"/>
  <c r="T20" i="6" s="1"/>
  <c r="N20" i="6"/>
  <c r="H20" i="6"/>
  <c r="I20" i="6" s="1"/>
  <c r="AD19" i="6"/>
  <c r="AE19" i="6" s="1"/>
  <c r="Y19" i="6"/>
  <c r="Z19" i="6" s="1"/>
  <c r="AA19" i="6" s="1"/>
  <c r="V19" i="6"/>
  <c r="W19" i="6" s="1"/>
  <c r="X19" i="6" s="1"/>
  <c r="R19" i="6"/>
  <c r="S19" i="6" s="1"/>
  <c r="U19" i="6" s="1"/>
  <c r="T19" i="6" s="1"/>
  <c r="N19" i="6"/>
  <c r="H19" i="6"/>
  <c r="I19" i="6" s="1"/>
  <c r="AD18" i="6"/>
  <c r="AE18" i="6" s="1"/>
  <c r="Y18" i="6"/>
  <c r="Z18" i="6" s="1"/>
  <c r="AA18" i="6" s="1"/>
  <c r="V18" i="6"/>
  <c r="W18" i="6" s="1"/>
  <c r="X18" i="6" s="1"/>
  <c r="R18" i="6"/>
  <c r="S18" i="6" s="1"/>
  <c r="U18" i="6" s="1"/>
  <c r="T18" i="6" s="1"/>
  <c r="N18" i="6"/>
  <c r="H18" i="6"/>
  <c r="I18" i="6" s="1"/>
  <c r="AD17" i="6"/>
  <c r="AE17" i="6" s="1"/>
  <c r="Y17" i="6"/>
  <c r="Z17" i="6" s="1"/>
  <c r="AA17" i="6" s="1"/>
  <c r="V17" i="6"/>
  <c r="W17" i="6" s="1"/>
  <c r="X17" i="6" s="1"/>
  <c r="R17" i="6"/>
  <c r="S17" i="6" s="1"/>
  <c r="U17" i="6" s="1"/>
  <c r="T17" i="6" s="1"/>
  <c r="N17" i="6"/>
  <c r="H17" i="6"/>
  <c r="I17" i="6" s="1"/>
  <c r="AD16" i="6"/>
  <c r="AE16" i="6" s="1"/>
  <c r="Y16" i="6"/>
  <c r="Z16" i="6" s="1"/>
  <c r="AA16" i="6" s="1"/>
  <c r="V16" i="6"/>
  <c r="W16" i="6" s="1"/>
  <c r="X16" i="6" s="1"/>
  <c r="R16" i="6"/>
  <c r="S16" i="6" s="1"/>
  <c r="U16" i="6" s="1"/>
  <c r="T16" i="6" s="1"/>
  <c r="N16" i="6"/>
  <c r="H16" i="6"/>
  <c r="I16" i="6" s="1"/>
  <c r="AD15" i="6"/>
  <c r="AE15" i="6" s="1"/>
  <c r="Y15" i="6"/>
  <c r="Z15" i="6" s="1"/>
  <c r="AA15" i="6" s="1"/>
  <c r="V15" i="6"/>
  <c r="W15" i="6" s="1"/>
  <c r="X15" i="6" s="1"/>
  <c r="R15" i="6"/>
  <c r="S15" i="6" s="1"/>
  <c r="U15" i="6" s="1"/>
  <c r="T15" i="6" s="1"/>
  <c r="N15" i="6"/>
  <c r="H15" i="6"/>
  <c r="I15" i="6" s="1"/>
  <c r="AD14" i="6"/>
  <c r="AE14" i="6" s="1"/>
  <c r="Z14" i="6"/>
  <c r="AA14" i="6" s="1"/>
  <c r="R14" i="6"/>
  <c r="S14" i="6" s="1"/>
  <c r="U14" i="6" s="1"/>
  <c r="T14" i="6" s="1"/>
  <c r="N14" i="6"/>
  <c r="AD13" i="6"/>
  <c r="AE13" i="6" s="1"/>
  <c r="Y13" i="6"/>
  <c r="Z13" i="6" s="1"/>
  <c r="AA13" i="6" s="1"/>
  <c r="V13" i="6"/>
  <c r="W13" i="6" s="1"/>
  <c r="X13" i="6" s="1"/>
  <c r="R13" i="6"/>
  <c r="N13" i="6"/>
  <c r="H13" i="6"/>
  <c r="I13" i="6" s="1"/>
  <c r="AD12" i="6"/>
  <c r="AE12" i="6" s="1"/>
  <c r="Z12" i="6"/>
  <c r="AA12" i="6" s="1"/>
  <c r="V12" i="6"/>
  <c r="W12" i="6" s="1"/>
  <c r="X12" i="6" s="1"/>
  <c r="R12" i="6"/>
  <c r="S13" i="6" s="1"/>
  <c r="U13" i="6" s="1"/>
  <c r="T13" i="6" s="1"/>
  <c r="N12" i="6"/>
  <c r="H12" i="6"/>
  <c r="I12" i="6" s="1"/>
  <c r="AD11" i="6"/>
  <c r="AE11" i="6" s="1"/>
  <c r="Y11" i="6"/>
  <c r="Z11" i="6" s="1"/>
  <c r="AA11" i="6" s="1"/>
  <c r="V11" i="6"/>
  <c r="W11" i="6" s="1"/>
  <c r="X11" i="6" s="1"/>
  <c r="R11" i="6"/>
  <c r="S11" i="6" s="1"/>
  <c r="U11" i="6" s="1"/>
  <c r="T11" i="6" s="1"/>
  <c r="N11" i="6"/>
  <c r="H11" i="6"/>
  <c r="I11" i="6" s="1"/>
  <c r="AD10" i="6"/>
  <c r="AE10" i="6" s="1"/>
  <c r="Y10" i="6"/>
  <c r="Z10" i="6" s="1"/>
  <c r="AA10" i="6" s="1"/>
  <c r="V10" i="6"/>
  <c r="W10" i="6" s="1"/>
  <c r="X10" i="6" s="1"/>
  <c r="R10" i="6"/>
  <c r="S10" i="6" s="1"/>
  <c r="U10" i="6" s="1"/>
  <c r="T10" i="6" s="1"/>
  <c r="N10" i="6"/>
  <c r="H10" i="6"/>
  <c r="I10" i="6" s="1"/>
  <c r="AD9" i="6"/>
  <c r="AE9" i="6" s="1"/>
  <c r="Z9" i="6"/>
  <c r="AA9" i="6" s="1"/>
  <c r="R9" i="6"/>
  <c r="S9" i="6" s="1"/>
  <c r="U9" i="6" s="1"/>
  <c r="T9" i="6" s="1"/>
  <c r="N9" i="6"/>
  <c r="AD8" i="6"/>
  <c r="AE8" i="6" s="1"/>
  <c r="Z8" i="6"/>
  <c r="AA8" i="6" s="1"/>
  <c r="R8" i="6"/>
  <c r="S8" i="6" s="1"/>
  <c r="U8" i="6" s="1"/>
  <c r="T8" i="6" s="1"/>
  <c r="N8" i="6"/>
  <c r="AD7" i="6"/>
  <c r="AE7" i="6" s="1"/>
  <c r="Y7" i="6"/>
  <c r="Z7" i="6" s="1"/>
  <c r="AA7" i="6" s="1"/>
  <c r="V7" i="6"/>
  <c r="W7" i="6" s="1"/>
  <c r="X7" i="6" s="1"/>
  <c r="R7" i="6"/>
  <c r="S7" i="6" s="1"/>
  <c r="U7" i="6" s="1"/>
  <c r="T7" i="6" s="1"/>
  <c r="N7" i="6"/>
  <c r="H7" i="6"/>
  <c r="I7" i="6" s="1"/>
  <c r="AD6" i="6"/>
  <c r="AE6" i="6" s="1"/>
  <c r="Z6" i="6"/>
  <c r="AA6" i="6" s="1"/>
  <c r="W6" i="6"/>
  <c r="X6" i="6" s="1"/>
  <c r="S6" i="6"/>
  <c r="U6" i="6" s="1"/>
  <c r="T6" i="6" s="1"/>
  <c r="N6" i="6"/>
  <c r="AD5" i="6"/>
  <c r="AE5" i="6" s="1"/>
  <c r="Y5" i="6"/>
  <c r="Z5" i="6" s="1"/>
  <c r="AA5" i="6" s="1"/>
  <c r="W5" i="6"/>
  <c r="X5" i="6" s="1"/>
  <c r="S5" i="6"/>
  <c r="U5" i="6" s="1"/>
  <c r="T5" i="6" s="1"/>
  <c r="N5" i="6"/>
  <c r="H5" i="6"/>
  <c r="I5" i="6" s="1"/>
  <c r="AD4" i="6"/>
  <c r="AE4" i="6" s="1"/>
  <c r="Y4" i="6"/>
  <c r="Z4" i="6" s="1"/>
  <c r="AA4" i="6" s="1"/>
  <c r="V4" i="6"/>
  <c r="W4" i="6" s="1"/>
  <c r="X4" i="6" s="1"/>
  <c r="S4" i="6"/>
  <c r="U4" i="6" s="1"/>
  <c r="T4" i="6" s="1"/>
  <c r="N4" i="6"/>
  <c r="H4" i="6"/>
  <c r="I4" i="6" s="1"/>
  <c r="AD3" i="6"/>
  <c r="AE3" i="6" s="1"/>
  <c r="Y3" i="6"/>
  <c r="Z3" i="6" s="1"/>
  <c r="AA3" i="6" s="1"/>
  <c r="V3" i="6"/>
  <c r="W3" i="6" s="1"/>
  <c r="X3" i="6" s="1"/>
  <c r="R3" i="6"/>
  <c r="S3" i="6" s="1"/>
  <c r="U3" i="6" s="1"/>
  <c r="T3" i="6" s="1"/>
  <c r="N3" i="6"/>
  <c r="H3" i="6"/>
  <c r="I3" i="6" s="1"/>
  <c r="AD2" i="6"/>
  <c r="AE2" i="6" s="1"/>
  <c r="Z2" i="6"/>
  <c r="AA2" i="6" s="1"/>
  <c r="M2" i="6"/>
  <c r="H2" i="6"/>
  <c r="I2" i="6" s="1"/>
  <c r="AB27" i="5"/>
  <c r="V27" i="5"/>
  <c r="O27" i="5"/>
  <c r="P27" i="5" s="1"/>
  <c r="K27" i="5"/>
  <c r="M27" i="5" s="1"/>
  <c r="L27" i="5" s="1"/>
  <c r="H27" i="5"/>
  <c r="I27" i="5" s="1"/>
  <c r="AB26" i="5"/>
  <c r="V26" i="5"/>
  <c r="W26" i="5" s="1"/>
  <c r="X26" i="5" s="1"/>
  <c r="O26" i="5"/>
  <c r="P26" i="5" s="1"/>
  <c r="K26" i="5"/>
  <c r="M26" i="5" s="1"/>
  <c r="L26" i="5" s="1"/>
  <c r="AB25" i="5"/>
  <c r="V25" i="5"/>
  <c r="W25" i="5" s="1"/>
  <c r="X25" i="5" s="1"/>
  <c r="O25" i="5"/>
  <c r="P25" i="5" s="1"/>
  <c r="K25" i="5"/>
  <c r="M25" i="5" s="1"/>
  <c r="L25" i="5" s="1"/>
  <c r="H25" i="5"/>
  <c r="I25" i="5" s="1"/>
  <c r="AB24" i="5"/>
  <c r="V24" i="5"/>
  <c r="W24" i="5" s="1"/>
  <c r="X24" i="5" s="1"/>
  <c r="O24" i="5"/>
  <c r="P24" i="5" s="1"/>
  <c r="K24" i="5"/>
  <c r="M24" i="5" s="1"/>
  <c r="L24" i="5" s="1"/>
  <c r="H24" i="5"/>
  <c r="I24" i="5" s="1"/>
  <c r="AB23" i="5"/>
  <c r="W23" i="5"/>
  <c r="X23" i="5" s="1"/>
  <c r="O23" i="5"/>
  <c r="P23" i="5" s="1"/>
  <c r="K23" i="5"/>
  <c r="M23" i="5" s="1"/>
  <c r="L23" i="5" s="1"/>
  <c r="AB22" i="5"/>
  <c r="V22" i="5"/>
  <c r="W22" i="5" s="1"/>
  <c r="X22" i="5" s="1"/>
  <c r="O22" i="5"/>
  <c r="P22" i="5" s="1"/>
  <c r="K22" i="5"/>
  <c r="M22" i="5" s="1"/>
  <c r="L22" i="5" s="1"/>
  <c r="H22" i="5"/>
  <c r="I22" i="5" s="1"/>
  <c r="AB21" i="5"/>
  <c r="V21" i="5"/>
  <c r="W21" i="5" s="1"/>
  <c r="X21" i="5" s="1"/>
  <c r="O21" i="5"/>
  <c r="P21" i="5" s="1"/>
  <c r="K21" i="5"/>
  <c r="M21" i="5" s="1"/>
  <c r="L21" i="5" s="1"/>
  <c r="H21" i="5"/>
  <c r="I21" i="5" s="1"/>
  <c r="AB20" i="5"/>
  <c r="V20" i="5"/>
  <c r="W20" i="5" s="1"/>
  <c r="X20" i="5" s="1"/>
  <c r="O20" i="5"/>
  <c r="P20" i="5" s="1"/>
  <c r="K20" i="5"/>
  <c r="M20" i="5" s="1"/>
  <c r="L20" i="5" s="1"/>
  <c r="H20" i="5"/>
  <c r="I20" i="5" s="1"/>
  <c r="AB19" i="5"/>
  <c r="V19" i="5"/>
  <c r="W19" i="5" s="1"/>
  <c r="X19" i="5" s="1"/>
  <c r="O19" i="5"/>
  <c r="P19" i="5" s="1"/>
  <c r="K19" i="5"/>
  <c r="M19" i="5" s="1"/>
  <c r="L19" i="5" s="1"/>
  <c r="H19" i="5"/>
  <c r="I19" i="5" s="1"/>
  <c r="AB18" i="5"/>
  <c r="V18" i="5"/>
  <c r="W18" i="5" s="1"/>
  <c r="X18" i="5" s="1"/>
  <c r="O18" i="5"/>
  <c r="P18" i="5" s="1"/>
  <c r="K18" i="5"/>
  <c r="M18" i="5" s="1"/>
  <c r="L18" i="5" s="1"/>
  <c r="H18" i="5"/>
  <c r="I18" i="5" s="1"/>
  <c r="AB17" i="5"/>
  <c r="V17" i="5"/>
  <c r="W17" i="5" s="1"/>
  <c r="X17" i="5" s="1"/>
  <c r="O17" i="5"/>
  <c r="P17" i="5" s="1"/>
  <c r="K17" i="5"/>
  <c r="M17" i="5" s="1"/>
  <c r="L17" i="5" s="1"/>
  <c r="H17" i="5"/>
  <c r="I17" i="5" s="1"/>
  <c r="AB16" i="5"/>
  <c r="V16" i="5"/>
  <c r="W16" i="5" s="1"/>
  <c r="X16" i="5" s="1"/>
  <c r="O16" i="5"/>
  <c r="P16" i="5" s="1"/>
  <c r="K16" i="5"/>
  <c r="M16" i="5" s="1"/>
  <c r="L16" i="5" s="1"/>
  <c r="H16" i="5"/>
  <c r="I16" i="5" s="1"/>
  <c r="AB15" i="5"/>
  <c r="V15" i="5"/>
  <c r="W15" i="5" s="1"/>
  <c r="X15" i="5" s="1"/>
  <c r="O15" i="5"/>
  <c r="P15" i="5" s="1"/>
  <c r="K15" i="5"/>
  <c r="M15" i="5" s="1"/>
  <c r="L15" i="5" s="1"/>
  <c r="H15" i="5"/>
  <c r="I15" i="5" s="1"/>
  <c r="AB14" i="5"/>
  <c r="W14" i="5"/>
  <c r="X14" i="5" s="1"/>
  <c r="O14" i="5"/>
  <c r="P14" i="5" s="1"/>
  <c r="K14" i="5"/>
  <c r="M14" i="5" s="1"/>
  <c r="L14" i="5" s="1"/>
  <c r="AB13" i="5"/>
  <c r="V13" i="5"/>
  <c r="W13" i="5" s="1"/>
  <c r="X13" i="5" s="1"/>
  <c r="O13" i="5"/>
  <c r="P13" i="5" s="1"/>
  <c r="K13" i="5"/>
  <c r="M13" i="5" s="1"/>
  <c r="L13" i="5" s="1"/>
  <c r="H13" i="5"/>
  <c r="I13" i="5" s="1"/>
  <c r="AB12" i="5"/>
  <c r="W12" i="5"/>
  <c r="X12" i="5" s="1"/>
  <c r="O12" i="5"/>
  <c r="P12" i="5" s="1"/>
  <c r="K12" i="5"/>
  <c r="M12" i="5" s="1"/>
  <c r="L12" i="5" s="1"/>
  <c r="H12" i="5"/>
  <c r="I12" i="5" s="1"/>
  <c r="AB11" i="5"/>
  <c r="V11" i="5"/>
  <c r="W11" i="5" s="1"/>
  <c r="X11" i="5" s="1"/>
  <c r="O11" i="5"/>
  <c r="P11" i="5" s="1"/>
  <c r="K11" i="5"/>
  <c r="M11" i="5" s="1"/>
  <c r="L11" i="5" s="1"/>
  <c r="H11" i="5"/>
  <c r="I11" i="5" s="1"/>
  <c r="AB10" i="5"/>
  <c r="V10" i="5"/>
  <c r="W10" i="5" s="1"/>
  <c r="X10" i="5" s="1"/>
  <c r="O10" i="5"/>
  <c r="P10" i="5" s="1"/>
  <c r="K10" i="5"/>
  <c r="M10" i="5" s="1"/>
  <c r="L10" i="5" s="1"/>
  <c r="H10" i="5"/>
  <c r="I10" i="5" s="1"/>
  <c r="AB9" i="5"/>
  <c r="W9" i="5"/>
  <c r="X9" i="5" s="1"/>
  <c r="O9" i="5"/>
  <c r="P9" i="5" s="1"/>
  <c r="K9" i="5"/>
  <c r="M9" i="5" s="1"/>
  <c r="L9" i="5" s="1"/>
  <c r="AB8" i="5"/>
  <c r="W8" i="5"/>
  <c r="X8" i="5" s="1"/>
  <c r="O8" i="5"/>
  <c r="P8" i="5" s="1"/>
  <c r="K8" i="5"/>
  <c r="M8" i="5" s="1"/>
  <c r="L8" i="5" s="1"/>
  <c r="AB7" i="5"/>
  <c r="V7" i="5"/>
  <c r="W7" i="5" s="1"/>
  <c r="X7" i="5" s="1"/>
  <c r="O7" i="5"/>
  <c r="P7" i="5" s="1"/>
  <c r="K7" i="5"/>
  <c r="M7" i="5" s="1"/>
  <c r="L7" i="5" s="1"/>
  <c r="H7" i="5"/>
  <c r="I7" i="5" s="1"/>
  <c r="AB6" i="5"/>
  <c r="W6" i="5"/>
  <c r="X6" i="5" s="1"/>
  <c r="U6" i="5"/>
  <c r="O6" i="5"/>
  <c r="P6" i="5" s="1"/>
  <c r="K6" i="5"/>
  <c r="M6" i="5" s="1"/>
  <c r="L6" i="5" s="1"/>
  <c r="AB5" i="5"/>
  <c r="V5" i="5"/>
  <c r="W5" i="5" s="1"/>
  <c r="X5" i="5" s="1"/>
  <c r="U5" i="5"/>
  <c r="O5" i="5"/>
  <c r="P5" i="5" s="1"/>
  <c r="K5" i="5"/>
  <c r="M5" i="5" s="1"/>
  <c r="L5" i="5" s="1"/>
  <c r="H5" i="5"/>
  <c r="I5" i="5" s="1"/>
  <c r="AB4" i="5"/>
  <c r="V4" i="5"/>
  <c r="W4" i="5" s="1"/>
  <c r="X4" i="5" s="1"/>
  <c r="U4" i="5"/>
  <c r="O4" i="5"/>
  <c r="P4" i="5" s="1"/>
  <c r="K4" i="5"/>
  <c r="M4" i="5" s="1"/>
  <c r="L4" i="5" s="1"/>
  <c r="H4" i="5"/>
  <c r="I4" i="5" s="1"/>
  <c r="AB3" i="5"/>
  <c r="V3" i="5"/>
  <c r="W3" i="5" s="1"/>
  <c r="X3" i="5" s="1"/>
  <c r="O3" i="5"/>
  <c r="P3" i="5" s="1"/>
  <c r="K3" i="5"/>
  <c r="M3" i="5" s="1"/>
  <c r="L3" i="5" s="1"/>
  <c r="H3" i="5"/>
  <c r="I3" i="5" s="1"/>
  <c r="AB2" i="5"/>
  <c r="W2" i="5"/>
  <c r="X2" i="5" s="1"/>
  <c r="N2" i="5"/>
  <c r="J2" i="5"/>
  <c r="K2" i="5" s="1"/>
  <c r="M2" i="5" s="1"/>
  <c r="L2" i="5" s="1"/>
  <c r="H2" i="5"/>
  <c r="I2" i="5" s="1"/>
  <c r="S27" i="4"/>
  <c r="M27" i="4"/>
  <c r="N27" i="4" s="1"/>
  <c r="O27" i="4" s="1"/>
  <c r="K27" i="4"/>
  <c r="L27" i="4" s="1"/>
  <c r="H27" i="4"/>
  <c r="I27" i="4" s="1"/>
  <c r="S26" i="4"/>
  <c r="M26" i="4"/>
  <c r="N26" i="4" s="1"/>
  <c r="O26" i="4" s="1"/>
  <c r="K26" i="4"/>
  <c r="L26" i="4" s="1"/>
  <c r="S25" i="4"/>
  <c r="M25" i="4"/>
  <c r="N25" i="4" s="1"/>
  <c r="O25" i="4" s="1"/>
  <c r="K25" i="4"/>
  <c r="L25" i="4" s="1"/>
  <c r="H25" i="4"/>
  <c r="I25" i="4" s="1"/>
  <c r="S24" i="4"/>
  <c r="M24" i="4"/>
  <c r="N24" i="4" s="1"/>
  <c r="O24" i="4" s="1"/>
  <c r="K24" i="4"/>
  <c r="L24" i="4" s="1"/>
  <c r="H24" i="4"/>
  <c r="I24" i="4" s="1"/>
  <c r="S23" i="4"/>
  <c r="N23" i="4"/>
  <c r="O23" i="4" s="1"/>
  <c r="K23" i="4"/>
  <c r="L23" i="4" s="1"/>
  <c r="S22" i="4"/>
  <c r="M22" i="4"/>
  <c r="N22" i="4" s="1"/>
  <c r="O22" i="4" s="1"/>
  <c r="K22" i="4"/>
  <c r="L22" i="4" s="1"/>
  <c r="H22" i="4"/>
  <c r="I22" i="4" s="1"/>
  <c r="S21" i="4"/>
  <c r="M21" i="4"/>
  <c r="N21" i="4" s="1"/>
  <c r="O21" i="4" s="1"/>
  <c r="K21" i="4"/>
  <c r="L21" i="4" s="1"/>
  <c r="H21" i="4"/>
  <c r="I21" i="4" s="1"/>
  <c r="S20" i="4"/>
  <c r="M20" i="4"/>
  <c r="N20" i="4" s="1"/>
  <c r="O20" i="4" s="1"/>
  <c r="K20" i="4"/>
  <c r="L20" i="4" s="1"/>
  <c r="H20" i="4"/>
  <c r="I20" i="4" s="1"/>
  <c r="S19" i="4"/>
  <c r="M19" i="4"/>
  <c r="N19" i="4" s="1"/>
  <c r="O19" i="4" s="1"/>
  <c r="K19" i="4"/>
  <c r="L19" i="4" s="1"/>
  <c r="H19" i="4"/>
  <c r="I19" i="4" s="1"/>
  <c r="S18" i="4"/>
  <c r="M18" i="4"/>
  <c r="N18" i="4" s="1"/>
  <c r="O18" i="4" s="1"/>
  <c r="K18" i="4"/>
  <c r="L18" i="4" s="1"/>
  <c r="H18" i="4"/>
  <c r="I18" i="4" s="1"/>
  <c r="S17" i="4"/>
  <c r="M17" i="4"/>
  <c r="N17" i="4" s="1"/>
  <c r="O17" i="4" s="1"/>
  <c r="K17" i="4"/>
  <c r="L17" i="4" s="1"/>
  <c r="H17" i="4"/>
  <c r="I17" i="4" s="1"/>
  <c r="S16" i="4"/>
  <c r="M16" i="4"/>
  <c r="N16" i="4" s="1"/>
  <c r="O16" i="4" s="1"/>
  <c r="K16" i="4"/>
  <c r="L16" i="4" s="1"/>
  <c r="H16" i="4"/>
  <c r="I16" i="4" s="1"/>
  <c r="S15" i="4"/>
  <c r="M15" i="4"/>
  <c r="N15" i="4" s="1"/>
  <c r="O15" i="4" s="1"/>
  <c r="K15" i="4"/>
  <c r="L15" i="4" s="1"/>
  <c r="H15" i="4"/>
  <c r="I15" i="4" s="1"/>
  <c r="S14" i="4"/>
  <c r="N14" i="4"/>
  <c r="O14" i="4" s="1"/>
  <c r="K14" i="4"/>
  <c r="L14" i="4" s="1"/>
  <c r="S13" i="4"/>
  <c r="M13" i="4"/>
  <c r="N13" i="4" s="1"/>
  <c r="O13" i="4" s="1"/>
  <c r="K13" i="4"/>
  <c r="L13" i="4" s="1"/>
  <c r="H13" i="4"/>
  <c r="I13" i="4" s="1"/>
  <c r="S12" i="4"/>
  <c r="M12" i="4"/>
  <c r="N12" i="4" s="1"/>
  <c r="O12" i="4" s="1"/>
  <c r="K12" i="4"/>
  <c r="L12" i="4" s="1"/>
  <c r="H12" i="4"/>
  <c r="I12" i="4" s="1"/>
  <c r="S11" i="4"/>
  <c r="M11" i="4"/>
  <c r="N11" i="4" s="1"/>
  <c r="O11" i="4" s="1"/>
  <c r="K11" i="4"/>
  <c r="L11" i="4" s="1"/>
  <c r="H11" i="4"/>
  <c r="I11" i="4" s="1"/>
  <c r="S10" i="4"/>
  <c r="M10" i="4"/>
  <c r="N10" i="4" s="1"/>
  <c r="O10" i="4" s="1"/>
  <c r="K10" i="4"/>
  <c r="L10" i="4" s="1"/>
  <c r="H10" i="4"/>
  <c r="I10" i="4" s="1"/>
  <c r="S9" i="4"/>
  <c r="N9" i="4"/>
  <c r="O9" i="4" s="1"/>
  <c r="K9" i="4"/>
  <c r="L9" i="4" s="1"/>
  <c r="S8" i="4"/>
  <c r="N8" i="4"/>
  <c r="O8" i="4" s="1"/>
  <c r="K8" i="4"/>
  <c r="L8" i="4" s="1"/>
  <c r="S7" i="4"/>
  <c r="M7" i="4"/>
  <c r="N7" i="4" s="1"/>
  <c r="O7" i="4" s="1"/>
  <c r="K7" i="4"/>
  <c r="L7" i="4" s="1"/>
  <c r="H7" i="4"/>
  <c r="I7" i="4" s="1"/>
  <c r="S6" i="4"/>
  <c r="N6" i="4"/>
  <c r="O6" i="4" s="1"/>
  <c r="K6" i="4"/>
  <c r="L6" i="4" s="1"/>
  <c r="S5" i="4"/>
  <c r="M5" i="4"/>
  <c r="N5" i="4" s="1"/>
  <c r="O5" i="4" s="1"/>
  <c r="K5" i="4"/>
  <c r="L5" i="4" s="1"/>
  <c r="H5" i="4"/>
  <c r="I5" i="4" s="1"/>
  <c r="S4" i="4"/>
  <c r="M4" i="4"/>
  <c r="N4" i="4" s="1"/>
  <c r="O4" i="4" s="1"/>
  <c r="K4" i="4"/>
  <c r="L4" i="4" s="1"/>
  <c r="H4" i="4"/>
  <c r="I4" i="4" s="1"/>
  <c r="S3" i="4"/>
  <c r="M3" i="4"/>
  <c r="N3" i="4" s="1"/>
  <c r="O3" i="4" s="1"/>
  <c r="K3" i="4"/>
  <c r="L3" i="4" s="1"/>
  <c r="H3" i="4"/>
  <c r="I3" i="4" s="1"/>
  <c r="S2" i="4"/>
  <c r="J2" i="4"/>
  <c r="H2" i="4"/>
  <c r="I2" i="4" s="1"/>
  <c r="W27" i="2"/>
  <c r="X27" i="2" s="1"/>
  <c r="Y27" i="2" s="1"/>
  <c r="T27" i="2"/>
  <c r="V27" i="2" s="1"/>
  <c r="U27" i="2" s="1"/>
  <c r="Q27" i="2"/>
  <c r="R27" i="2" s="1"/>
  <c r="O27" i="2"/>
  <c r="P27" i="2" s="1"/>
  <c r="L27" i="2"/>
  <c r="M27" i="2" s="1"/>
  <c r="I27" i="2"/>
  <c r="J27" i="2" s="1"/>
  <c r="W26" i="2"/>
  <c r="X26" i="2" s="1"/>
  <c r="Y26" i="2" s="1"/>
  <c r="T26" i="2"/>
  <c r="V26" i="2" s="1"/>
  <c r="U26" i="2" s="1"/>
  <c r="Q26" i="2"/>
  <c r="R26" i="2" s="1"/>
  <c r="O26" i="2"/>
  <c r="P26" i="2" s="1"/>
  <c r="L26" i="2"/>
  <c r="M26" i="2" s="1"/>
  <c r="W25" i="2"/>
  <c r="X25" i="2" s="1"/>
  <c r="Y25" i="2" s="1"/>
  <c r="T25" i="2"/>
  <c r="V25" i="2" s="1"/>
  <c r="U25" i="2" s="1"/>
  <c r="Q25" i="2"/>
  <c r="R25" i="2" s="1"/>
  <c r="O25" i="2"/>
  <c r="P25" i="2" s="1"/>
  <c r="L25" i="2"/>
  <c r="M25" i="2" s="1"/>
  <c r="I25" i="2"/>
  <c r="J25" i="2" s="1"/>
  <c r="AG25" i="2" s="1"/>
  <c r="AH25" i="2" s="1"/>
  <c r="W24" i="2"/>
  <c r="X24" i="2" s="1"/>
  <c r="Y24" i="2" s="1"/>
  <c r="T24" i="2"/>
  <c r="V24" i="2" s="1"/>
  <c r="U24" i="2" s="1"/>
  <c r="Q24" i="2"/>
  <c r="R24" i="2" s="1"/>
  <c r="O24" i="2"/>
  <c r="P24" i="2" s="1"/>
  <c r="L24" i="2"/>
  <c r="M24" i="2" s="1"/>
  <c r="I24" i="2"/>
  <c r="J24" i="2" s="1"/>
  <c r="X23" i="2"/>
  <c r="Y23" i="2" s="1"/>
  <c r="T23" i="2"/>
  <c r="V23" i="2" s="1"/>
  <c r="U23" i="2" s="1"/>
  <c r="R23" i="2"/>
  <c r="O23" i="2"/>
  <c r="P23" i="2" s="1"/>
  <c r="L23" i="2"/>
  <c r="M23" i="2" s="1"/>
  <c r="W22" i="2"/>
  <c r="X22" i="2" s="1"/>
  <c r="Y22" i="2" s="1"/>
  <c r="T22" i="2"/>
  <c r="V22" i="2" s="1"/>
  <c r="U22" i="2" s="1"/>
  <c r="Q22" i="2"/>
  <c r="R22" i="2" s="1"/>
  <c r="O22" i="2"/>
  <c r="P22" i="2" s="1"/>
  <c r="L22" i="2"/>
  <c r="M22" i="2" s="1"/>
  <c r="I22" i="2"/>
  <c r="J22" i="2" s="1"/>
  <c r="W21" i="2"/>
  <c r="X21" i="2" s="1"/>
  <c r="Y21" i="2" s="1"/>
  <c r="T21" i="2"/>
  <c r="V21" i="2" s="1"/>
  <c r="U21" i="2" s="1"/>
  <c r="Q21" i="2"/>
  <c r="R21" i="2" s="1"/>
  <c r="O21" i="2"/>
  <c r="P21" i="2" s="1"/>
  <c r="L21" i="2"/>
  <c r="M21" i="2" s="1"/>
  <c r="I21" i="2"/>
  <c r="J21" i="2" s="1"/>
  <c r="W20" i="2"/>
  <c r="X20" i="2" s="1"/>
  <c r="Y20" i="2" s="1"/>
  <c r="T20" i="2"/>
  <c r="V20" i="2" s="1"/>
  <c r="U20" i="2" s="1"/>
  <c r="Q20" i="2"/>
  <c r="R20" i="2" s="1"/>
  <c r="O20" i="2"/>
  <c r="P20" i="2" s="1"/>
  <c r="L20" i="2"/>
  <c r="M20" i="2" s="1"/>
  <c r="I20" i="2"/>
  <c r="J20" i="2" s="1"/>
  <c r="W19" i="2"/>
  <c r="X19" i="2" s="1"/>
  <c r="Y19" i="2" s="1"/>
  <c r="T19" i="2"/>
  <c r="V19" i="2" s="1"/>
  <c r="U19" i="2" s="1"/>
  <c r="Q19" i="2"/>
  <c r="R19" i="2" s="1"/>
  <c r="O19" i="2"/>
  <c r="P19" i="2" s="1"/>
  <c r="L19" i="2"/>
  <c r="M19" i="2" s="1"/>
  <c r="I19" i="2"/>
  <c r="J19" i="2" s="1"/>
  <c r="W18" i="2"/>
  <c r="X18" i="2" s="1"/>
  <c r="Y18" i="2" s="1"/>
  <c r="T18" i="2"/>
  <c r="V18" i="2" s="1"/>
  <c r="U18" i="2" s="1"/>
  <c r="Q18" i="2"/>
  <c r="R18" i="2" s="1"/>
  <c r="O18" i="2"/>
  <c r="P18" i="2" s="1"/>
  <c r="L18" i="2"/>
  <c r="M18" i="2" s="1"/>
  <c r="I18" i="2"/>
  <c r="J18" i="2" s="1"/>
  <c r="W17" i="2"/>
  <c r="X17" i="2" s="1"/>
  <c r="Y17" i="2" s="1"/>
  <c r="T17" i="2"/>
  <c r="V17" i="2" s="1"/>
  <c r="U17" i="2" s="1"/>
  <c r="Q17" i="2"/>
  <c r="R17" i="2" s="1"/>
  <c r="O17" i="2"/>
  <c r="P17" i="2" s="1"/>
  <c r="L17" i="2"/>
  <c r="M17" i="2" s="1"/>
  <c r="I17" i="2"/>
  <c r="J17" i="2" s="1"/>
  <c r="T16" i="2"/>
  <c r="V16" i="2" s="1"/>
  <c r="U16" i="2" s="1"/>
  <c r="Q16" i="2"/>
  <c r="R16" i="2" s="1"/>
  <c r="O16" i="2"/>
  <c r="P16" i="2" s="1"/>
  <c r="L16" i="2"/>
  <c r="M16" i="2" s="1"/>
  <c r="I16" i="2"/>
  <c r="J16" i="2" s="1"/>
  <c r="W15" i="2"/>
  <c r="X15" i="2" s="1"/>
  <c r="Y15" i="2" s="1"/>
  <c r="T15" i="2"/>
  <c r="V15" i="2" s="1"/>
  <c r="U15" i="2" s="1"/>
  <c r="Q15" i="2"/>
  <c r="R15" i="2" s="1"/>
  <c r="O15" i="2"/>
  <c r="P15" i="2" s="1"/>
  <c r="L15" i="2"/>
  <c r="M15" i="2" s="1"/>
  <c r="I15" i="2"/>
  <c r="J15" i="2" s="1"/>
  <c r="X14" i="2"/>
  <c r="Y14" i="2" s="1"/>
  <c r="T14" i="2"/>
  <c r="V14" i="2" s="1"/>
  <c r="U14" i="2" s="1"/>
  <c r="Q14" i="2"/>
  <c r="R14" i="2" s="1"/>
  <c r="O14" i="2"/>
  <c r="P14" i="2" s="1"/>
  <c r="L14" i="2"/>
  <c r="M14" i="2" s="1"/>
  <c r="W13" i="2"/>
  <c r="X13" i="2" s="1"/>
  <c r="Y13" i="2" s="1"/>
  <c r="T13" i="2"/>
  <c r="V13" i="2" s="1"/>
  <c r="U13" i="2" s="1"/>
  <c r="Q13" i="2"/>
  <c r="R13" i="2" s="1"/>
  <c r="O13" i="2"/>
  <c r="P13" i="2" s="1"/>
  <c r="L13" i="2"/>
  <c r="M13" i="2" s="1"/>
  <c r="I13" i="2"/>
  <c r="J13" i="2" s="1"/>
  <c r="X12" i="2"/>
  <c r="Y12" i="2" s="1"/>
  <c r="T12" i="2"/>
  <c r="V12" i="2" s="1"/>
  <c r="U12" i="2" s="1"/>
  <c r="Q12" i="2"/>
  <c r="R12" i="2" s="1"/>
  <c r="O12" i="2"/>
  <c r="P12" i="2" s="1"/>
  <c r="L12" i="2"/>
  <c r="M12" i="2" s="1"/>
  <c r="I12" i="2"/>
  <c r="J12" i="2" s="1"/>
  <c r="W11" i="2"/>
  <c r="X11" i="2" s="1"/>
  <c r="Y11" i="2" s="1"/>
  <c r="T11" i="2"/>
  <c r="V11" i="2" s="1"/>
  <c r="U11" i="2" s="1"/>
  <c r="Q11" i="2"/>
  <c r="R11" i="2" s="1"/>
  <c r="O11" i="2"/>
  <c r="P11" i="2" s="1"/>
  <c r="L11" i="2"/>
  <c r="M11" i="2" s="1"/>
  <c r="I11" i="2"/>
  <c r="J11" i="2" s="1"/>
  <c r="W10" i="2"/>
  <c r="X10" i="2" s="1"/>
  <c r="Y10" i="2" s="1"/>
  <c r="T10" i="2"/>
  <c r="V10" i="2" s="1"/>
  <c r="U10" i="2" s="1"/>
  <c r="Q10" i="2"/>
  <c r="R10" i="2" s="1"/>
  <c r="O10" i="2"/>
  <c r="P10" i="2" s="1"/>
  <c r="L10" i="2"/>
  <c r="M10" i="2" s="1"/>
  <c r="I10" i="2"/>
  <c r="J10" i="2" s="1"/>
  <c r="X9" i="2"/>
  <c r="Y9" i="2" s="1"/>
  <c r="T9" i="2"/>
  <c r="V9" i="2" s="1"/>
  <c r="U9" i="2" s="1"/>
  <c r="Q9" i="2"/>
  <c r="R9" i="2" s="1"/>
  <c r="O9" i="2"/>
  <c r="P9" i="2" s="1"/>
  <c r="L9" i="2"/>
  <c r="M9" i="2" s="1"/>
  <c r="X8" i="2"/>
  <c r="Y8" i="2" s="1"/>
  <c r="T8" i="2"/>
  <c r="V8" i="2" s="1"/>
  <c r="U8" i="2" s="1"/>
  <c r="Q8" i="2"/>
  <c r="R8" i="2" s="1"/>
  <c r="O8" i="2"/>
  <c r="P8" i="2" s="1"/>
  <c r="L8" i="2"/>
  <c r="M8" i="2" s="1"/>
  <c r="W7" i="2"/>
  <c r="X7" i="2" s="1"/>
  <c r="Y7" i="2" s="1"/>
  <c r="T7" i="2"/>
  <c r="V7" i="2" s="1"/>
  <c r="U7" i="2" s="1"/>
  <c r="Q7" i="2"/>
  <c r="R7" i="2" s="1"/>
  <c r="O7" i="2"/>
  <c r="P7" i="2" s="1"/>
  <c r="L7" i="2"/>
  <c r="M7" i="2" s="1"/>
  <c r="I7" i="2"/>
  <c r="J7" i="2" s="1"/>
  <c r="X6" i="2"/>
  <c r="Y6" i="2" s="1"/>
  <c r="T6" i="2"/>
  <c r="V6" i="2" s="1"/>
  <c r="U6" i="2" s="1"/>
  <c r="R6" i="2"/>
  <c r="O6" i="2"/>
  <c r="P6" i="2" s="1"/>
  <c r="L6" i="2"/>
  <c r="M6" i="2" s="1"/>
  <c r="AG6" i="2" s="1"/>
  <c r="AH6" i="2" s="1"/>
  <c r="W5" i="2"/>
  <c r="X5" i="2" s="1"/>
  <c r="Y5" i="2" s="1"/>
  <c r="T5" i="2"/>
  <c r="V5" i="2" s="1"/>
  <c r="U5" i="2" s="1"/>
  <c r="Q5" i="2"/>
  <c r="R5" i="2" s="1"/>
  <c r="O5" i="2"/>
  <c r="P5" i="2" s="1"/>
  <c r="L5" i="2"/>
  <c r="M5" i="2" s="1"/>
  <c r="I5" i="2"/>
  <c r="J5" i="2" s="1"/>
  <c r="W4" i="2"/>
  <c r="X4" i="2" s="1"/>
  <c r="Y4" i="2" s="1"/>
  <c r="T4" i="2"/>
  <c r="V4" i="2" s="1"/>
  <c r="U4" i="2" s="1"/>
  <c r="Q4" i="2"/>
  <c r="R4" i="2" s="1"/>
  <c r="O4" i="2"/>
  <c r="P4" i="2" s="1"/>
  <c r="L4" i="2"/>
  <c r="M4" i="2" s="1"/>
  <c r="I4" i="2"/>
  <c r="J4" i="2" s="1"/>
  <c r="W3" i="2"/>
  <c r="X3" i="2" s="1"/>
  <c r="Y3" i="2" s="1"/>
  <c r="T3" i="2"/>
  <c r="V3" i="2" s="1"/>
  <c r="U3" i="2" s="1"/>
  <c r="Q3" i="2"/>
  <c r="R3" i="2" s="1"/>
  <c r="O3" i="2"/>
  <c r="P3" i="2" s="1"/>
  <c r="L3" i="2"/>
  <c r="M3" i="2" s="1"/>
  <c r="I3" i="2"/>
  <c r="J3" i="2" s="1"/>
  <c r="X2" i="2"/>
  <c r="Y2" i="2" s="1"/>
  <c r="T2" i="2"/>
  <c r="V2" i="2" s="1"/>
  <c r="U2" i="2" s="1"/>
  <c r="N2" i="2"/>
  <c r="Q2" i="2" s="1"/>
  <c r="R2" i="2" s="1"/>
  <c r="K2" i="2"/>
  <c r="L2" i="2" s="1"/>
  <c r="M2" i="2" s="1"/>
  <c r="I2" i="2"/>
  <c r="J2" i="2" s="1"/>
  <c r="L29" i="1" l="1"/>
  <c r="AC10" i="11"/>
  <c r="AD10" i="11" s="1"/>
  <c r="AC4" i="11"/>
  <c r="AD4" i="11" s="1"/>
  <c r="AC16" i="11"/>
  <c r="AD16" i="11" s="1"/>
  <c r="AF16" i="11" s="1"/>
  <c r="AG16" i="11" s="1"/>
  <c r="AC7" i="11"/>
  <c r="AD7" i="11" s="1"/>
  <c r="AF7" i="11" s="1"/>
  <c r="AG7" i="11" s="1"/>
  <c r="AC20" i="11"/>
  <c r="AC23" i="11"/>
  <c r="AC3" i="11"/>
  <c r="AC6" i="11"/>
  <c r="AD6" i="11" s="1"/>
  <c r="AF6" i="11" s="1"/>
  <c r="AG6" i="11" s="1"/>
  <c r="AC13" i="11"/>
  <c r="AD13" i="11" s="1"/>
  <c r="AC19" i="11"/>
  <c r="AC8" i="11"/>
  <c r="AD8" i="11" s="1"/>
  <c r="AC12" i="11"/>
  <c r="AD12" i="11" s="1"/>
  <c r="AC15" i="11"/>
  <c r="AC18" i="11"/>
  <c r="AC22" i="11"/>
  <c r="AC25" i="11"/>
  <c r="AD25" i="11" s="1"/>
  <c r="AF25" i="11" s="1"/>
  <c r="AG25" i="11" s="1"/>
  <c r="AC26" i="11"/>
  <c r="AC5" i="11"/>
  <c r="AC11" i="11"/>
  <c r="AC14" i="11"/>
  <c r="AD14" i="11" s="1"/>
  <c r="AC17" i="11"/>
  <c r="AC21" i="11"/>
  <c r="AD21" i="11" s="1"/>
  <c r="AC24" i="11"/>
  <c r="AC27" i="11"/>
  <c r="AD27" i="11" s="1"/>
  <c r="AF27" i="11" s="1"/>
  <c r="AG27" i="11" s="1"/>
  <c r="Z6" i="7"/>
  <c r="Z10" i="7"/>
  <c r="Z12" i="7"/>
  <c r="Z15" i="7"/>
  <c r="AA15" i="7" s="1"/>
  <c r="AC15" i="7" s="1"/>
  <c r="AD15" i="7" s="1"/>
  <c r="Z27" i="7"/>
  <c r="Z4" i="7"/>
  <c r="AA4" i="7" s="1"/>
  <c r="AC4" i="7" s="1"/>
  <c r="AD4" i="7" s="1"/>
  <c r="Z16" i="7"/>
  <c r="Z18" i="7"/>
  <c r="AA18" i="7" s="1"/>
  <c r="AC18" i="7" s="1"/>
  <c r="AD18" i="7" s="1"/>
  <c r="Z20" i="7"/>
  <c r="Z22" i="7"/>
  <c r="Z25" i="7"/>
  <c r="AA25" i="7" s="1"/>
  <c r="AC25" i="7" s="1"/>
  <c r="AD25" i="7" s="1"/>
  <c r="Z7" i="7"/>
  <c r="AA7" i="7" s="1"/>
  <c r="AC7" i="7" s="1"/>
  <c r="AD7" i="7" s="1"/>
  <c r="Z11" i="7"/>
  <c r="Z13" i="7"/>
  <c r="AA13" i="7" s="1"/>
  <c r="AC13" i="7" s="1"/>
  <c r="AD13" i="7" s="1"/>
  <c r="Z26" i="7"/>
  <c r="Z3" i="7"/>
  <c r="Z5" i="7"/>
  <c r="Z17" i="7"/>
  <c r="Z19" i="7"/>
  <c r="Z21" i="7"/>
  <c r="AA21" i="7" s="1"/>
  <c r="AC21" i="7" s="1"/>
  <c r="AD21" i="7" s="1"/>
  <c r="Z24" i="7"/>
  <c r="AA24" i="7" s="1"/>
  <c r="AC24" i="7" s="1"/>
  <c r="AD24" i="7" s="1"/>
  <c r="AF7" i="6"/>
  <c r="AG7" i="6" s="1"/>
  <c r="AI7" i="6" s="1"/>
  <c r="AJ7" i="6" s="1"/>
  <c r="AF11" i="6"/>
  <c r="AG11" i="6" s="1"/>
  <c r="AF13" i="6"/>
  <c r="AG13" i="6" s="1"/>
  <c r="AF16" i="6"/>
  <c r="AG16" i="6" s="1"/>
  <c r="AI16" i="6" s="1"/>
  <c r="AJ16" i="6" s="1"/>
  <c r="AF18" i="6"/>
  <c r="AG18" i="6" s="1"/>
  <c r="AI18" i="6" s="1"/>
  <c r="AJ18" i="6" s="1"/>
  <c r="AF20" i="6"/>
  <c r="AG20" i="6" s="1"/>
  <c r="AF22" i="6"/>
  <c r="AG22" i="6" s="1"/>
  <c r="AI22" i="6" s="1"/>
  <c r="AJ22" i="6" s="1"/>
  <c r="AF25" i="6"/>
  <c r="AG25" i="6" s="1"/>
  <c r="AI25" i="6" s="1"/>
  <c r="AJ25" i="6" s="1"/>
  <c r="AF27" i="6"/>
  <c r="AG27" i="6" s="1"/>
  <c r="AC6" i="5"/>
  <c r="AC4" i="5"/>
  <c r="AC5" i="5"/>
  <c r="AD5" i="5" s="1"/>
  <c r="AF5" i="5" s="1"/>
  <c r="T3" i="4"/>
  <c r="U3" i="4" s="1"/>
  <c r="W3" i="4" s="1"/>
  <c r="X3" i="4" s="1"/>
  <c r="T4" i="4"/>
  <c r="T5" i="4"/>
  <c r="T14" i="4"/>
  <c r="U14" i="4" s="1"/>
  <c r="W14" i="4" s="1"/>
  <c r="X14" i="4" s="1"/>
  <c r="T15" i="4"/>
  <c r="U15" i="4" s="1"/>
  <c r="W15" i="4" s="1"/>
  <c r="X15" i="4" s="1"/>
  <c r="T16" i="4"/>
  <c r="T17" i="4"/>
  <c r="T18" i="4"/>
  <c r="U18" i="4" s="1"/>
  <c r="T19" i="4"/>
  <c r="T20" i="4"/>
  <c r="T21" i="4"/>
  <c r="U21" i="4" s="1"/>
  <c r="W21" i="4" s="1"/>
  <c r="X21" i="4" s="1"/>
  <c r="T22" i="4"/>
  <c r="U22" i="4" s="1"/>
  <c r="W22" i="4" s="1"/>
  <c r="X22" i="4" s="1"/>
  <c r="AA16" i="8"/>
  <c r="AB16" i="8" s="1"/>
  <c r="AD16" i="8" s="1"/>
  <c r="AE16" i="8" s="1"/>
  <c r="AA27" i="8"/>
  <c r="AB27" i="8" s="1"/>
  <c r="AD27" i="8" s="1"/>
  <c r="AE27" i="8" s="1"/>
  <c r="AA4" i="8"/>
  <c r="AB4" i="8" s="1"/>
  <c r="AD4" i="8" s="1"/>
  <c r="AE4" i="8" s="1"/>
  <c r="AA14" i="8"/>
  <c r="AB14" i="8" s="1"/>
  <c r="AD14" i="8" s="1"/>
  <c r="AE14" i="8" s="1"/>
  <c r="AA23" i="8"/>
  <c r="AB23" i="8" s="1"/>
  <c r="AD23" i="8" s="1"/>
  <c r="AE23" i="8" s="1"/>
  <c r="AA25" i="8"/>
  <c r="AB25" i="8" s="1"/>
  <c r="AD25" i="8" s="1"/>
  <c r="AE25" i="8" s="1"/>
  <c r="AA6" i="8"/>
  <c r="AB6" i="8" s="1"/>
  <c r="AD6" i="8" s="1"/>
  <c r="AE6" i="8" s="1"/>
  <c r="AA7" i="8"/>
  <c r="AB7" i="8" s="1"/>
  <c r="AD7" i="8" s="1"/>
  <c r="AE7" i="8" s="1"/>
  <c r="AA10" i="8"/>
  <c r="AB10" i="8" s="1"/>
  <c r="AD10" i="8" s="1"/>
  <c r="AE10" i="8" s="1"/>
  <c r="AA12" i="8"/>
  <c r="AB12" i="8" s="1"/>
  <c r="AD12" i="8" s="1"/>
  <c r="AE12" i="8" s="1"/>
  <c r="AA17" i="8"/>
  <c r="AB17" i="8" s="1"/>
  <c r="AD17" i="8" s="1"/>
  <c r="AE17" i="8" s="1"/>
  <c r="AA19" i="8"/>
  <c r="AB19" i="8" s="1"/>
  <c r="AD19" i="8" s="1"/>
  <c r="AE19" i="8" s="1"/>
  <c r="AA21" i="8"/>
  <c r="AB21" i="8" s="1"/>
  <c r="AD21" i="8" s="1"/>
  <c r="AE21" i="8" s="1"/>
  <c r="AA26" i="8"/>
  <c r="AB26" i="8" s="1"/>
  <c r="AD26" i="8" s="1"/>
  <c r="AE26" i="8" s="1"/>
  <c r="AA9" i="8"/>
  <c r="AB9" i="8" s="1"/>
  <c r="AD9" i="8" s="1"/>
  <c r="AE9" i="8" s="1"/>
  <c r="AA11" i="8"/>
  <c r="AB11" i="8" s="1"/>
  <c r="AD11" i="8" s="1"/>
  <c r="AE11" i="8" s="1"/>
  <c r="AA13" i="8"/>
  <c r="AB13" i="8" s="1"/>
  <c r="AD13" i="8" s="1"/>
  <c r="AE13" i="8" s="1"/>
  <c r="AA18" i="8"/>
  <c r="AB18" i="8" s="1"/>
  <c r="AD18" i="8" s="1"/>
  <c r="AE18" i="8" s="1"/>
  <c r="AA20" i="8"/>
  <c r="AB20" i="8" s="1"/>
  <c r="AD20" i="8" s="1"/>
  <c r="AE20" i="8" s="1"/>
  <c r="AA22" i="8"/>
  <c r="AB22" i="8" s="1"/>
  <c r="AD22" i="8" s="1"/>
  <c r="AE22" i="8" s="1"/>
  <c r="AA3" i="8"/>
  <c r="AB3" i="8" s="1"/>
  <c r="AD3" i="8" s="1"/>
  <c r="AE3" i="8" s="1"/>
  <c r="AA5" i="8"/>
  <c r="AA8" i="8"/>
  <c r="AB8" i="8" s="1"/>
  <c r="AD8" i="8" s="1"/>
  <c r="AE8" i="8" s="1"/>
  <c r="AA15" i="8"/>
  <c r="AB15" i="8" s="1"/>
  <c r="AD15" i="8" s="1"/>
  <c r="AE15" i="8" s="1"/>
  <c r="AA24" i="8"/>
  <c r="AB24" i="8" s="1"/>
  <c r="AD24" i="8" s="1"/>
  <c r="AE24" i="8" s="1"/>
  <c r="AG10" i="2"/>
  <c r="AH10" i="2" s="1"/>
  <c r="AG12" i="2"/>
  <c r="AH12" i="2" s="1"/>
  <c r="AG17" i="2"/>
  <c r="AH17" i="2" s="1"/>
  <c r="AG21" i="2"/>
  <c r="AH21" i="2" s="1"/>
  <c r="AJ21" i="2" s="1"/>
  <c r="AK21" i="2" s="1"/>
  <c r="AG4" i="2"/>
  <c r="AH4" i="2" s="1"/>
  <c r="AG7" i="2"/>
  <c r="AH7" i="2" s="1"/>
  <c r="AG9" i="2"/>
  <c r="AH9" i="2" s="1"/>
  <c r="AJ9" i="2" s="1"/>
  <c r="AK9" i="2" s="1"/>
  <c r="AG14" i="2"/>
  <c r="AH14" i="2" s="1"/>
  <c r="AJ14" i="2" s="1"/>
  <c r="AK14" i="2" s="1"/>
  <c r="AG19" i="2"/>
  <c r="AH19" i="2" s="1"/>
  <c r="AG23" i="2"/>
  <c r="AH23" i="2" s="1"/>
  <c r="AG3" i="2"/>
  <c r="AH3" i="2" s="1"/>
  <c r="AG5" i="2"/>
  <c r="AH5" i="2" s="1"/>
  <c r="AJ5" i="2" s="1"/>
  <c r="AK5" i="2" s="1"/>
  <c r="AG15" i="2"/>
  <c r="AH15" i="2" s="1"/>
  <c r="AG24" i="2"/>
  <c r="AH24" i="2" s="1"/>
  <c r="AG26" i="2"/>
  <c r="AH26" i="2" s="1"/>
  <c r="AG16" i="2"/>
  <c r="AH16" i="2" s="1"/>
  <c r="AJ16" i="2" s="1"/>
  <c r="AG8" i="2"/>
  <c r="AH8" i="2" s="1"/>
  <c r="AG11" i="2"/>
  <c r="AH11" i="2" s="1"/>
  <c r="AG13" i="2"/>
  <c r="AH13" i="2" s="1"/>
  <c r="AG18" i="2"/>
  <c r="AH18" i="2" s="1"/>
  <c r="AJ18" i="2" s="1"/>
  <c r="AK18" i="2" s="1"/>
  <c r="AG20" i="2"/>
  <c r="AH20" i="2" s="1"/>
  <c r="AG22" i="2"/>
  <c r="AH22" i="2" s="1"/>
  <c r="AG27" i="2"/>
  <c r="AH27" i="2" s="1"/>
  <c r="AJ27" i="2" s="1"/>
  <c r="AK27" i="2" s="1"/>
  <c r="AF10" i="11"/>
  <c r="AG10" i="11" s="1"/>
  <c r="AF14" i="11"/>
  <c r="AG14" i="11" s="1"/>
  <c r="AA3" i="7"/>
  <c r="AC3" i="7" s="1"/>
  <c r="AD3" i="7" s="1"/>
  <c r="AA27" i="7"/>
  <c r="AC27" i="7" s="1"/>
  <c r="AD27" i="7" s="1"/>
  <c r="AA10" i="7"/>
  <c r="AC10" i="7" s="1"/>
  <c r="AD10" i="7" s="1"/>
  <c r="AA19" i="7"/>
  <c r="AC19" i="7" s="1"/>
  <c r="AD19" i="7" s="1"/>
  <c r="AA5" i="7"/>
  <c r="AC5" i="7" s="1"/>
  <c r="AD5" i="7" s="1"/>
  <c r="AA12" i="7"/>
  <c r="AC12" i="7" s="1"/>
  <c r="AD12" i="7" s="1"/>
  <c r="AA17" i="7"/>
  <c r="AC17" i="7" s="1"/>
  <c r="AD17" i="7" s="1"/>
  <c r="AA26" i="7"/>
  <c r="AC26" i="7" s="1"/>
  <c r="AD26" i="7" s="1"/>
  <c r="AA6" i="7"/>
  <c r="AA22" i="7"/>
  <c r="AA11" i="7"/>
  <c r="AC11" i="7" s="1"/>
  <c r="AD11" i="7" s="1"/>
  <c r="AA16" i="7"/>
  <c r="AC16" i="7" s="1"/>
  <c r="AD16" i="7" s="1"/>
  <c r="AA20" i="7"/>
  <c r="AC20" i="7" s="1"/>
  <c r="AD20" i="7" s="1"/>
  <c r="AF3" i="6"/>
  <c r="AG3" i="6" s="1"/>
  <c r="AI3" i="6" s="1"/>
  <c r="AJ3" i="6" s="1"/>
  <c r="AF5" i="6"/>
  <c r="AG5" i="6" s="1"/>
  <c r="AF6" i="6"/>
  <c r="AF10" i="6"/>
  <c r="AF15" i="6"/>
  <c r="AG15" i="6" s="1"/>
  <c r="AI15" i="6" s="1"/>
  <c r="AJ15" i="6" s="1"/>
  <c r="AF17" i="6"/>
  <c r="AG17" i="6" s="1"/>
  <c r="AF19" i="6"/>
  <c r="AG19" i="6" s="1"/>
  <c r="AI19" i="6" s="1"/>
  <c r="AJ19" i="6" s="1"/>
  <c r="AF21" i="6"/>
  <c r="AG21" i="6" s="1"/>
  <c r="AI21" i="6" s="1"/>
  <c r="AJ21" i="6" s="1"/>
  <c r="AF24" i="6"/>
  <c r="AG24" i="6" s="1"/>
  <c r="AI24" i="6" s="1"/>
  <c r="AJ24" i="6" s="1"/>
  <c r="AF26" i="6"/>
  <c r="AG26" i="6" s="1"/>
  <c r="AI26" i="6" s="1"/>
  <c r="AJ26" i="6" s="1"/>
  <c r="AF4" i="6"/>
  <c r="AG4" i="6" s="1"/>
  <c r="AD6" i="5"/>
  <c r="AF6" i="5" s="1"/>
  <c r="T9" i="4"/>
  <c r="T10" i="4"/>
  <c r="T11" i="4"/>
  <c r="U11" i="4" s="1"/>
  <c r="T12" i="4"/>
  <c r="T13" i="4"/>
  <c r="U13" i="4" s="1"/>
  <c r="W13" i="4" s="1"/>
  <c r="X13" i="4" s="1"/>
  <c r="T8" i="4"/>
  <c r="U8" i="4" s="1"/>
  <c r="T26" i="4"/>
  <c r="U26" i="4" s="1"/>
  <c r="W26" i="4" s="1"/>
  <c r="X26" i="4" s="1"/>
  <c r="T27" i="4"/>
  <c r="U27" i="4" s="1"/>
  <c r="T6" i="4"/>
  <c r="U6" i="4" s="1"/>
  <c r="W6" i="4" s="1"/>
  <c r="X6" i="4" s="1"/>
  <c r="T7" i="4"/>
  <c r="U7" i="4" s="1"/>
  <c r="T23" i="4"/>
  <c r="U23" i="4" s="1"/>
  <c r="W23" i="4" s="1"/>
  <c r="X23" i="4" s="1"/>
  <c r="T24" i="4"/>
  <c r="U24" i="4" s="1"/>
  <c r="W24" i="4" s="1"/>
  <c r="X24" i="4" s="1"/>
  <c r="T25" i="4"/>
  <c r="U25" i="4" s="1"/>
  <c r="AJ20" i="2"/>
  <c r="AK20" i="2" s="1"/>
  <c r="AJ13" i="2"/>
  <c r="AK13" i="2" s="1"/>
  <c r="AJ19" i="2"/>
  <c r="AK19" i="2" s="1"/>
  <c r="AJ23" i="2"/>
  <c r="AK23" i="2" s="1"/>
  <c r="AJ26" i="2"/>
  <c r="AK26" i="2" s="1"/>
  <c r="AJ22" i="2"/>
  <c r="AK22" i="2" s="1"/>
  <c r="AJ3" i="2"/>
  <c r="AK3" i="2" s="1"/>
  <c r="AJ12" i="2"/>
  <c r="AK12" i="2" s="1"/>
  <c r="AJ15" i="2"/>
  <c r="AK15" i="2" s="1"/>
  <c r="AJ25" i="2"/>
  <c r="AK25" i="2" s="1"/>
  <c r="AJ6" i="2"/>
  <c r="AK6" i="2" s="1"/>
  <c r="AJ11" i="2"/>
  <c r="AK11" i="2" s="1"/>
  <c r="AJ17" i="2"/>
  <c r="AJ24" i="2"/>
  <c r="AK24" i="2" s="1"/>
  <c r="AJ4" i="2"/>
  <c r="AK4" i="2" s="1"/>
  <c r="AB5" i="8"/>
  <c r="AD5" i="8" s="1"/>
  <c r="AE5" i="8" s="1"/>
  <c r="AJ7" i="2"/>
  <c r="AK7" i="2" s="1"/>
  <c r="AD4" i="5"/>
  <c r="AF4" i="5" s="1"/>
  <c r="AJ8" i="2"/>
  <c r="AK8" i="2" s="1"/>
  <c r="AJ10" i="2"/>
  <c r="AK10" i="2" s="1"/>
  <c r="U9" i="4"/>
  <c r="U12" i="4"/>
  <c r="AF8" i="11"/>
  <c r="AG8" i="11" s="1"/>
  <c r="AF13" i="11"/>
  <c r="AG13" i="11" s="1"/>
  <c r="AF21" i="11"/>
  <c r="AG21" i="11" s="1"/>
  <c r="AF4" i="11"/>
  <c r="AG4" i="11" s="1"/>
  <c r="AF12" i="11"/>
  <c r="AG12" i="11" s="1"/>
  <c r="AI17" i="6"/>
  <c r="AJ17" i="6" s="1"/>
  <c r="AI4" i="6"/>
  <c r="AJ4" i="6" s="1"/>
  <c r="U10" i="4"/>
  <c r="U5" i="4"/>
  <c r="U4" i="4"/>
  <c r="U16" i="4"/>
  <c r="U17" i="4"/>
  <c r="W17" i="4" s="1"/>
  <c r="X17" i="4" s="1"/>
  <c r="U19" i="4"/>
  <c r="W19" i="4" s="1"/>
  <c r="X19" i="4" s="1"/>
  <c r="U20" i="4"/>
  <c r="AI27" i="6"/>
  <c r="AJ27" i="6" s="1"/>
  <c r="AI20" i="6"/>
  <c r="AJ20" i="6" s="1"/>
  <c r="AI13" i="6"/>
  <c r="AJ13" i="6" s="1"/>
  <c r="AI11" i="6"/>
  <c r="AJ11" i="6" s="1"/>
  <c r="AC22" i="7"/>
  <c r="AD22" i="7" s="1"/>
  <c r="Q2" i="5"/>
  <c r="U25" i="5"/>
  <c r="AC25" i="5" s="1"/>
  <c r="U26" i="5"/>
  <c r="AC26" i="5" s="1"/>
  <c r="U13" i="5"/>
  <c r="U17" i="5"/>
  <c r="AC17" i="5" s="1"/>
  <c r="U21" i="5"/>
  <c r="AC21" i="5" s="1"/>
  <c r="U9" i="5"/>
  <c r="AC9" i="5" s="1"/>
  <c r="U18" i="5"/>
  <c r="AC18" i="5" s="1"/>
  <c r="U10" i="5"/>
  <c r="AC10" i="5" s="1"/>
  <c r="U15" i="5"/>
  <c r="AC15" i="5" s="1"/>
  <c r="U19" i="5"/>
  <c r="AC19" i="5" s="1"/>
  <c r="U27" i="5"/>
  <c r="U24" i="5"/>
  <c r="AC24" i="5" s="1"/>
  <c r="U7" i="5"/>
  <c r="AC7" i="5" s="1"/>
  <c r="U14" i="5"/>
  <c r="AC14" i="5" s="1"/>
  <c r="U22" i="5"/>
  <c r="AC22" i="5" s="1"/>
  <c r="U3" i="5"/>
  <c r="AC3" i="5" s="1"/>
  <c r="U8" i="5"/>
  <c r="AC8" i="5" s="1"/>
  <c r="U11" i="5"/>
  <c r="AC11" i="5" s="1"/>
  <c r="U16" i="5"/>
  <c r="AC16" i="5" s="1"/>
  <c r="U20" i="5"/>
  <c r="AC20" i="5" s="1"/>
  <c r="U23" i="5"/>
  <c r="AC23" i="5" s="1"/>
  <c r="AI5" i="6"/>
  <c r="AJ5" i="6" s="1"/>
  <c r="AC6" i="7"/>
  <c r="AD6" i="7" s="1"/>
  <c r="W27" i="5"/>
  <c r="X27" i="5" s="1"/>
  <c r="O2" i="5"/>
  <c r="P2" i="5" s="1"/>
  <c r="N2" i="6"/>
  <c r="V2" i="6"/>
  <c r="W2" i="6" s="1"/>
  <c r="X2" i="6" s="1"/>
  <c r="N2" i="11"/>
  <c r="K2" i="7"/>
  <c r="L2" i="7" s="1"/>
  <c r="N2" i="8"/>
  <c r="O2" i="8" s="1"/>
  <c r="AA2" i="8" s="1"/>
  <c r="P2" i="7"/>
  <c r="Q2" i="7" s="1"/>
  <c r="R2" i="7" s="1"/>
  <c r="R2" i="6"/>
  <c r="S2" i="6" s="1"/>
  <c r="U2" i="6" s="1"/>
  <c r="T2" i="6" s="1"/>
  <c r="S12" i="6"/>
  <c r="U12" i="6" s="1"/>
  <c r="U12" i="5"/>
  <c r="AC12" i="5" s="1"/>
  <c r="K2" i="4"/>
  <c r="L2" i="4" s="1"/>
  <c r="M2" i="4"/>
  <c r="N2" i="4" s="1"/>
  <c r="O2" i="4" s="1"/>
  <c r="O2" i="2"/>
  <c r="P2" i="2" s="1"/>
  <c r="AG2" i="2" s="1"/>
  <c r="AH2" i="2" s="1"/>
  <c r="AD11" i="11" l="1"/>
  <c r="AF11" i="11" s="1"/>
  <c r="AG11" i="11" s="1"/>
  <c r="AD22" i="11"/>
  <c r="AF22" i="11" s="1"/>
  <c r="AG22" i="11" s="1"/>
  <c r="AD5" i="11"/>
  <c r="AF5" i="11" s="1"/>
  <c r="AG5" i="11" s="1"/>
  <c r="AD18" i="11"/>
  <c r="AF18" i="11" s="1"/>
  <c r="AG18" i="11" s="1"/>
  <c r="AD19" i="11"/>
  <c r="AF19" i="11" s="1"/>
  <c r="AG19" i="11" s="1"/>
  <c r="AD23" i="11"/>
  <c r="AF23" i="11" s="1"/>
  <c r="AG23" i="11" s="1"/>
  <c r="AD24" i="11"/>
  <c r="AF24" i="11" s="1"/>
  <c r="AG24" i="11" s="1"/>
  <c r="AD3" i="11"/>
  <c r="AF3" i="11" s="1"/>
  <c r="AG3" i="11" s="1"/>
  <c r="AD17" i="11"/>
  <c r="AF17" i="11" s="1"/>
  <c r="AG17" i="11" s="1"/>
  <c r="AD26" i="11"/>
  <c r="AF26" i="11" s="1"/>
  <c r="AG26" i="11" s="1"/>
  <c r="AD15" i="11"/>
  <c r="AF15" i="11" s="1"/>
  <c r="AG15" i="11" s="1"/>
  <c r="AD20" i="11"/>
  <c r="AF20" i="11" s="1"/>
  <c r="AG20" i="11" s="1"/>
  <c r="Z2" i="7"/>
  <c r="AA2" i="7" s="1"/>
  <c r="AC2" i="7" s="1"/>
  <c r="AD2" i="7" s="1"/>
  <c r="AF2" i="6"/>
  <c r="AG2" i="6" s="1"/>
  <c r="AG10" i="6"/>
  <c r="AI10" i="6" s="1"/>
  <c r="AJ10" i="6" s="1"/>
  <c r="AG6" i="6"/>
  <c r="AI6" i="6" s="1"/>
  <c r="AJ6" i="6" s="1"/>
  <c r="AC27" i="5"/>
  <c r="AG4" i="5"/>
  <c r="AG5" i="5"/>
  <c r="AC13" i="5"/>
  <c r="AD13" i="5" s="1"/>
  <c r="AF13" i="5" s="1"/>
  <c r="AG6" i="5"/>
  <c r="T2" i="4"/>
  <c r="AD11" i="5"/>
  <c r="AF11" i="5" s="1"/>
  <c r="AD18" i="5"/>
  <c r="AF18" i="5" s="1"/>
  <c r="AD8" i="5"/>
  <c r="AF8" i="5" s="1"/>
  <c r="AD21" i="5"/>
  <c r="AF21" i="5" s="1"/>
  <c r="AD20" i="5"/>
  <c r="AF20" i="5" s="1"/>
  <c r="AD3" i="5"/>
  <c r="AF3" i="5" s="1"/>
  <c r="AD10" i="5"/>
  <c r="AF10" i="5" s="1"/>
  <c r="AD17" i="5"/>
  <c r="AF17" i="5" s="1"/>
  <c r="AD16" i="5"/>
  <c r="AF16" i="5" s="1"/>
  <c r="AD22" i="5"/>
  <c r="AF22" i="5" s="1"/>
  <c r="AD15" i="5"/>
  <c r="AF15" i="5" s="1"/>
  <c r="AD23" i="5"/>
  <c r="AF23" i="5" s="1"/>
  <c r="AD12" i="5"/>
  <c r="AF12" i="5" s="1"/>
  <c r="AD19" i="5"/>
  <c r="AF19" i="5" s="1"/>
  <c r="AD26" i="5"/>
  <c r="AF26" i="5" s="1"/>
  <c r="AD24" i="5"/>
  <c r="AF24" i="5" s="1"/>
  <c r="AD14" i="5"/>
  <c r="AF14" i="5" s="1"/>
  <c r="AD7" i="5"/>
  <c r="AF7" i="5" s="1"/>
  <c r="AD27" i="5"/>
  <c r="AF27" i="5" s="1"/>
  <c r="AB2" i="8"/>
  <c r="AD2" i="8" s="1"/>
  <c r="AE2" i="8" s="1"/>
  <c r="U2" i="4"/>
  <c r="W2" i="4" s="1"/>
  <c r="AD25" i="5"/>
  <c r="AF25" i="5" s="1"/>
  <c r="AD9" i="5"/>
  <c r="AF9" i="5" s="1"/>
  <c r="O2" i="11"/>
  <c r="AC2" i="11" s="1"/>
  <c r="AD2" i="11" s="1"/>
  <c r="T12" i="6"/>
  <c r="AF12" i="6" s="1"/>
  <c r="AG12" i="6" s="1"/>
  <c r="AI12" i="6" s="1"/>
  <c r="AJ12" i="6" s="1"/>
  <c r="AI2" i="6"/>
  <c r="AJ2" i="6" s="1"/>
  <c r="W25" i="4"/>
  <c r="X25" i="4" s="1"/>
  <c r="W11" i="4"/>
  <c r="X11" i="4" s="1"/>
  <c r="W12" i="4"/>
  <c r="X12" i="4" s="1"/>
  <c r="W18" i="4"/>
  <c r="X18" i="4" s="1"/>
  <c r="W20" i="4"/>
  <c r="X20" i="4" s="1"/>
  <c r="W8" i="4"/>
  <c r="X8" i="4" s="1"/>
  <c r="W4" i="4"/>
  <c r="X4" i="4" s="1"/>
  <c r="W5" i="4"/>
  <c r="X5" i="4" s="1"/>
  <c r="W16" i="4"/>
  <c r="X16" i="4" s="1"/>
  <c r="W7" i="4"/>
  <c r="X7" i="4" s="1"/>
  <c r="W27" i="4"/>
  <c r="X27" i="4" s="1"/>
  <c r="W9" i="4"/>
  <c r="X9" i="4" s="1"/>
  <c r="W10" i="4"/>
  <c r="X10" i="4" s="1"/>
  <c r="T2" i="5"/>
  <c r="U2" i="5" s="1"/>
  <c r="AC2" i="5" s="1"/>
  <c r="W27" i="1"/>
  <c r="S27" i="1"/>
  <c r="P27" i="1"/>
  <c r="S5" i="1"/>
  <c r="W26" i="1"/>
  <c r="S26" i="1"/>
  <c r="P26" i="1"/>
  <c r="S4" i="1"/>
  <c r="P4" i="1"/>
  <c r="W4" i="1"/>
  <c r="W25" i="1"/>
  <c r="S25" i="1"/>
  <c r="P25" i="1"/>
  <c r="W24" i="1"/>
  <c r="S24" i="1"/>
  <c r="P24" i="1"/>
  <c r="P3" i="1"/>
  <c r="W22" i="1"/>
  <c r="S22" i="1"/>
  <c r="P22" i="1"/>
  <c r="W21" i="1"/>
  <c r="S21" i="1"/>
  <c r="P21" i="1"/>
  <c r="W20" i="1"/>
  <c r="S20" i="1"/>
  <c r="P20" i="1"/>
  <c r="W19" i="1"/>
  <c r="S19" i="1"/>
  <c r="P19" i="1"/>
  <c r="AG27" i="5" l="1"/>
  <c r="AG13" i="5"/>
  <c r="AG26" i="5"/>
  <c r="AG8" i="5"/>
  <c r="AG25" i="5"/>
  <c r="AG7" i="5"/>
  <c r="AG19" i="5"/>
  <c r="AG22" i="5"/>
  <c r="AG3" i="5"/>
  <c r="AG18" i="5"/>
  <c r="AG9" i="5"/>
  <c r="AG15" i="5"/>
  <c r="AG14" i="5"/>
  <c r="AG12" i="5"/>
  <c r="AG16" i="5"/>
  <c r="AG20" i="5"/>
  <c r="AG11" i="5"/>
  <c r="AG10" i="5"/>
  <c r="AG24" i="5"/>
  <c r="AG23" i="5"/>
  <c r="AG17" i="5"/>
  <c r="AG21" i="5"/>
  <c r="X2" i="4"/>
  <c r="AF2" i="11"/>
  <c r="AG2" i="11" s="1"/>
  <c r="AD2" i="5"/>
  <c r="AF2" i="5" s="1"/>
  <c r="W18" i="1"/>
  <c r="S18" i="1"/>
  <c r="P18" i="1"/>
  <c r="W17" i="1"/>
  <c r="S17" i="1"/>
  <c r="P17" i="1"/>
  <c r="S16" i="1"/>
  <c r="P16" i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3" i="1"/>
  <c r="O3" i="1" s="1"/>
  <c r="W15" i="1"/>
  <c r="S15" i="1"/>
  <c r="P15" i="1"/>
  <c r="S14" i="1"/>
  <c r="W13" i="1"/>
  <c r="S13" i="1"/>
  <c r="P13" i="1"/>
  <c r="S12" i="1"/>
  <c r="T12" i="1" s="1"/>
  <c r="V12" i="1" s="1"/>
  <c r="U12" i="1" s="1"/>
  <c r="P12" i="1"/>
  <c r="W11" i="1"/>
  <c r="S11" i="1"/>
  <c r="T11" i="1" s="1"/>
  <c r="V11" i="1" s="1"/>
  <c r="U11" i="1" s="1"/>
  <c r="P11" i="1"/>
  <c r="W10" i="1"/>
  <c r="S10" i="1"/>
  <c r="S9" i="1"/>
  <c r="AG2" i="5" l="1"/>
  <c r="S8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7" i="1"/>
  <c r="W7" i="1"/>
  <c r="S7" i="1"/>
  <c r="P7" i="1"/>
  <c r="AC3" i="1"/>
  <c r="AC4" i="1"/>
  <c r="AC5" i="1"/>
  <c r="AC6" i="1"/>
  <c r="W6" i="1"/>
  <c r="S6" i="1"/>
  <c r="W5" i="1"/>
  <c r="W3" i="1"/>
  <c r="S3" i="1"/>
  <c r="M2" i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AC29" i="1" l="1"/>
  <c r="N2" i="1"/>
  <c r="O2" i="1" s="1"/>
  <c r="O29" i="1" s="1"/>
  <c r="P2" i="1"/>
  <c r="S2" i="1"/>
  <c r="T19" i="1" l="1"/>
  <c r="V19" i="1" s="1"/>
  <c r="U19" i="1" s="1"/>
  <c r="T20" i="1"/>
  <c r="V20" i="1" s="1"/>
  <c r="U20" i="1" s="1"/>
  <c r="T21" i="1"/>
  <c r="V21" i="1" s="1"/>
  <c r="U21" i="1" s="1"/>
  <c r="T22" i="1"/>
  <c r="V22" i="1" s="1"/>
  <c r="U22" i="1" s="1"/>
  <c r="T23" i="1"/>
  <c r="V23" i="1" s="1"/>
  <c r="U23" i="1" s="1"/>
  <c r="T24" i="1"/>
  <c r="V24" i="1" s="1"/>
  <c r="U24" i="1" s="1"/>
  <c r="T25" i="1"/>
  <c r="V25" i="1" s="1"/>
  <c r="U25" i="1" s="1"/>
  <c r="T26" i="1"/>
  <c r="V26" i="1" s="1"/>
  <c r="U26" i="1" s="1"/>
  <c r="T27" i="1"/>
  <c r="V27" i="1" s="1"/>
  <c r="U27" i="1" s="1"/>
  <c r="T5" i="1"/>
  <c r="V5" i="1" s="1"/>
  <c r="T6" i="1"/>
  <c r="V6" i="1" s="1"/>
  <c r="U6" i="1" s="1"/>
  <c r="T7" i="1"/>
  <c r="V7" i="1" s="1"/>
  <c r="U7" i="1" s="1"/>
  <c r="T8" i="1"/>
  <c r="V8" i="1" s="1"/>
  <c r="U8" i="1" s="1"/>
  <c r="T9" i="1"/>
  <c r="V9" i="1" s="1"/>
  <c r="U9" i="1" s="1"/>
  <c r="T10" i="1"/>
  <c r="V10" i="1" s="1"/>
  <c r="U10" i="1" s="1"/>
  <c r="T13" i="1"/>
  <c r="V13" i="1" s="1"/>
  <c r="U13" i="1" s="1"/>
  <c r="T14" i="1"/>
  <c r="V14" i="1" s="1"/>
  <c r="U14" i="1" s="1"/>
  <c r="T15" i="1"/>
  <c r="V15" i="1" s="1"/>
  <c r="U15" i="1" s="1"/>
  <c r="T16" i="1"/>
  <c r="V16" i="1" s="1"/>
  <c r="U16" i="1" s="1"/>
  <c r="T17" i="1"/>
  <c r="V17" i="1" s="1"/>
  <c r="U17" i="1" s="1"/>
  <c r="T18" i="1"/>
  <c r="V18" i="1" s="1"/>
  <c r="U18" i="1" s="1"/>
  <c r="T3" i="1"/>
  <c r="V3" i="1" s="1"/>
  <c r="U3" i="1" s="1"/>
  <c r="T4" i="1"/>
  <c r="V4" i="1" s="1"/>
  <c r="U4" i="1" s="1"/>
  <c r="T2" i="1"/>
  <c r="V2" i="1" s="1"/>
  <c r="U2" i="1" s="1"/>
  <c r="U5" i="1" l="1"/>
  <c r="V29" i="1"/>
  <c r="X10" i="1"/>
  <c r="Y10" i="1" s="1"/>
  <c r="X11" i="1"/>
  <c r="Y11" i="1" s="1"/>
  <c r="X12" i="1"/>
  <c r="Y12" i="1" s="1"/>
  <c r="X13" i="1"/>
  <c r="Y13" i="1" s="1"/>
  <c r="X14" i="1"/>
  <c r="Y14" i="1" s="1"/>
  <c r="X15" i="1"/>
  <c r="Y15" i="1" s="1"/>
  <c r="X2" i="1"/>
  <c r="Y2" i="1" s="1"/>
  <c r="X7" i="1"/>
  <c r="Y7" i="1" s="1"/>
  <c r="X8" i="1"/>
  <c r="Y8" i="1" s="1"/>
  <c r="X9" i="1"/>
  <c r="Y9" i="1" s="1"/>
  <c r="X16" i="1"/>
  <c r="Y16" i="1" s="1"/>
  <c r="X17" i="1"/>
  <c r="Y17" i="1" s="1"/>
  <c r="X18" i="1"/>
  <c r="Y18" i="1" s="1"/>
  <c r="X19" i="1"/>
  <c r="Y19" i="1" s="1"/>
  <c r="X20" i="1"/>
  <c r="Y20" i="1" s="1"/>
  <c r="X21" i="1"/>
  <c r="Y21" i="1" s="1"/>
  <c r="X22" i="1"/>
  <c r="Y22" i="1" s="1"/>
  <c r="X23" i="1"/>
  <c r="Y23" i="1" s="1"/>
  <c r="X24" i="1"/>
  <c r="Y24" i="1" s="1"/>
  <c r="X25" i="1"/>
  <c r="Y25" i="1" s="1"/>
  <c r="X26" i="1"/>
  <c r="Y26" i="1" s="1"/>
  <c r="X27" i="1"/>
  <c r="Y27" i="1" s="1"/>
  <c r="X3" i="1"/>
  <c r="Y3" i="1" s="1"/>
  <c r="X4" i="1"/>
  <c r="Y4" i="1" s="1"/>
  <c r="X5" i="1"/>
  <c r="Y5" i="1" s="1"/>
  <c r="X6" i="1"/>
  <c r="Y6" i="1" s="1"/>
  <c r="Q2" i="1"/>
  <c r="R2" i="1" s="1"/>
  <c r="Q3" i="1"/>
  <c r="R3" i="1" s="1"/>
  <c r="Q4" i="1"/>
  <c r="R4" i="1" s="1"/>
  <c r="Q5" i="1"/>
  <c r="R5" i="1" s="1"/>
  <c r="Q6" i="1"/>
  <c r="R6" i="1" s="1"/>
  <c r="Q7" i="1"/>
  <c r="R7" i="1" s="1"/>
  <c r="Q8" i="1"/>
  <c r="R8" i="1" s="1"/>
  <c r="Q9" i="1"/>
  <c r="R9" i="1" s="1"/>
  <c r="Q10" i="1"/>
  <c r="R10" i="1" s="1"/>
  <c r="Q11" i="1"/>
  <c r="R11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12" i="1"/>
  <c r="R12" i="1" s="1"/>
  <c r="H3" i="1"/>
  <c r="I3" i="1" s="1"/>
  <c r="H2" i="1"/>
  <c r="I2" i="1" s="1"/>
  <c r="I29" i="1" s="1"/>
  <c r="R29" i="1" l="1"/>
  <c r="Y29" i="1"/>
  <c r="AD4" i="1"/>
  <c r="AE4" i="1" s="1"/>
  <c r="AG4" i="1" s="1"/>
  <c r="AH4" i="1" s="1"/>
  <c r="AD25" i="1"/>
  <c r="AE25" i="1" s="1"/>
  <c r="AG25" i="1" s="1"/>
  <c r="AH25" i="1" s="1"/>
  <c r="AD21" i="1"/>
  <c r="AE21" i="1" s="1"/>
  <c r="AG21" i="1" s="1"/>
  <c r="AH21" i="1" s="1"/>
  <c r="AD17" i="1"/>
  <c r="AE17" i="1" s="1"/>
  <c r="AG17" i="1" s="1"/>
  <c r="AH17" i="1" s="1"/>
  <c r="AD7" i="1"/>
  <c r="AE7" i="1" s="1"/>
  <c r="AG7" i="1" s="1"/>
  <c r="AH7" i="1" s="1"/>
  <c r="AD13" i="1"/>
  <c r="AE13" i="1" s="1"/>
  <c r="AG13" i="1" s="1"/>
  <c r="AH13" i="1" s="1"/>
  <c r="AD3" i="1"/>
  <c r="AE3" i="1" s="1"/>
  <c r="AG3" i="1" s="1"/>
  <c r="AH3" i="1" s="1"/>
  <c r="AD24" i="1"/>
  <c r="AE24" i="1" s="1"/>
  <c r="AG24" i="1" s="1"/>
  <c r="AH24" i="1" s="1"/>
  <c r="AD20" i="1"/>
  <c r="AD16" i="1"/>
  <c r="AE16" i="1" s="1"/>
  <c r="AG16" i="1" s="1"/>
  <c r="AH16" i="1" s="1"/>
  <c r="AD2" i="1"/>
  <c r="AE2" i="1" s="1"/>
  <c r="AG2" i="1" s="1"/>
  <c r="AH2" i="1" s="1"/>
  <c r="AD12" i="1"/>
  <c r="AE12" i="1" s="1"/>
  <c r="AG12" i="1" s="1"/>
  <c r="AH12" i="1" s="1"/>
  <c r="AD6" i="1"/>
  <c r="AE6" i="1" s="1"/>
  <c r="AG6" i="1" s="1"/>
  <c r="AH6" i="1" s="1"/>
  <c r="AD27" i="1"/>
  <c r="AE27" i="1" s="1"/>
  <c r="AG27" i="1" s="1"/>
  <c r="AH27" i="1" s="1"/>
  <c r="AD23" i="1"/>
  <c r="AE23" i="1" s="1"/>
  <c r="AG23" i="1" s="1"/>
  <c r="AH23" i="1" s="1"/>
  <c r="AD19" i="1"/>
  <c r="AE19" i="1" s="1"/>
  <c r="AG19" i="1" s="1"/>
  <c r="AH19" i="1" s="1"/>
  <c r="AD9" i="1"/>
  <c r="AE9" i="1" s="1"/>
  <c r="AG9" i="1" s="1"/>
  <c r="AH9" i="1" s="1"/>
  <c r="AD15" i="1"/>
  <c r="AE15" i="1" s="1"/>
  <c r="AG15" i="1" s="1"/>
  <c r="AH15" i="1" s="1"/>
  <c r="AD11" i="1"/>
  <c r="AE11" i="1" s="1"/>
  <c r="AG11" i="1" s="1"/>
  <c r="AH11" i="1" s="1"/>
  <c r="AD5" i="1"/>
  <c r="AE5" i="1" s="1"/>
  <c r="AG5" i="1" s="1"/>
  <c r="AH5" i="1" s="1"/>
  <c r="AD26" i="1"/>
  <c r="AD22" i="1"/>
  <c r="AE22" i="1" s="1"/>
  <c r="AG22" i="1" s="1"/>
  <c r="AH22" i="1" s="1"/>
  <c r="AD18" i="1"/>
  <c r="AE18" i="1" s="1"/>
  <c r="AG18" i="1" s="1"/>
  <c r="AH18" i="1" s="1"/>
  <c r="AD8" i="1"/>
  <c r="AE8" i="1" s="1"/>
  <c r="AG8" i="1" s="1"/>
  <c r="AH8" i="1" s="1"/>
  <c r="AD14" i="1"/>
  <c r="AE14" i="1" s="1"/>
  <c r="AG14" i="1" s="1"/>
  <c r="AH14" i="1" s="1"/>
  <c r="AD10" i="1"/>
  <c r="AE10" i="1" s="1"/>
  <c r="AG10" i="1" s="1"/>
  <c r="AH10" i="1" s="1"/>
  <c r="AE20" i="1"/>
  <c r="AG20" i="1" s="1"/>
  <c r="AH20" i="1" s="1"/>
  <c r="AE26" i="1"/>
  <c r="AG26" i="1" s="1"/>
  <c r="AH26" i="1" s="1"/>
  <c r="W8" i="6" l="1"/>
  <c r="X8" i="6" s="1"/>
  <c r="AF8" i="6" s="1"/>
  <c r="AG8" i="6" s="1"/>
  <c r="AI8" i="6" l="1"/>
  <c r="AJ8" i="6" s="1"/>
  <c r="N8" i="7"/>
  <c r="O8" i="7" s="1"/>
  <c r="Z8" i="7" l="1"/>
  <c r="AA8" i="7" s="1"/>
  <c r="AC8" i="7" s="1"/>
  <c r="AD8" i="7" s="1"/>
  <c r="W9" i="6"/>
  <c r="X9" i="6" s="1"/>
  <c r="AF9" i="6" s="1"/>
  <c r="AG9" i="6" s="1"/>
  <c r="AI9" i="6" l="1"/>
  <c r="AJ9" i="6" s="1"/>
  <c r="N9" i="7"/>
  <c r="O9" i="7" s="1"/>
  <c r="N9" i="11"/>
  <c r="O9" i="11" s="1"/>
  <c r="W9" i="11"/>
  <c r="X9" i="11" s="1"/>
  <c r="AC9" i="11" s="1"/>
  <c r="AD9" i="11" s="1"/>
  <c r="Q9" i="11"/>
  <c r="R9" i="11" s="1"/>
  <c r="Z9" i="7" l="1"/>
  <c r="AA9" i="7" s="1"/>
  <c r="AC9" i="7" s="1"/>
  <c r="AD9" i="7" s="1"/>
  <c r="AF9" i="11"/>
  <c r="AG9" i="11" s="1"/>
  <c r="W14" i="6"/>
  <c r="X14" i="6" s="1"/>
  <c r="AF14" i="6" s="1"/>
  <c r="AG14" i="6" s="1"/>
  <c r="AI14" i="6" l="1"/>
  <c r="AJ14" i="6" s="1"/>
  <c r="N14" i="7"/>
  <c r="O14" i="7" s="1"/>
  <c r="W23" i="6"/>
  <c r="X23" i="6" s="1"/>
  <c r="AF23" i="6" s="1"/>
  <c r="AG23" i="6" s="1"/>
  <c r="Z14" i="7" l="1"/>
  <c r="AA14" i="7" s="1"/>
  <c r="AC14" i="7" s="1"/>
  <c r="AD14" i="7" s="1"/>
  <c r="AI23" i="6"/>
  <c r="AJ23" i="6" s="1"/>
  <c r="N23" i="7"/>
  <c r="O23" i="7" s="1"/>
  <c r="Z23" i="7" l="1"/>
  <c r="AA23" i="7" s="1"/>
  <c r="AC23" i="7" s="1"/>
  <c r="AD23" i="7" s="1"/>
  <c r="AJ2" i="2" l="1"/>
  <c r="AK2" i="2" s="1"/>
</calcChain>
</file>

<file path=xl/sharedStrings.xml><?xml version="1.0" encoding="utf-8"?>
<sst xmlns="http://schemas.openxmlformats.org/spreadsheetml/2006/main" count="568" uniqueCount="91">
  <si>
    <t>LP</t>
  </si>
  <si>
    <t>NAZWA GMINY</t>
  </si>
  <si>
    <t>Powierzchnia gminy (ha)</t>
  </si>
  <si>
    <t xml:space="preserve">Powierzchnia gruntów leśnych wszystkich form własności w gminie (ha) </t>
  </si>
  <si>
    <t>Powierzchnia wszystkich lasów w gminie (ha) - GOSP, OCHR, REZ i nieokreślone</t>
  </si>
  <si>
    <t>Powierzchnia lasów gminnych (ha) - tereny zalesione</t>
  </si>
  <si>
    <t>Średni wiek drzewostanu (gatunku panującego w wydzieleniu)</t>
  </si>
  <si>
    <t xml:space="preserve">Udział powierzchni lasów w gminie % </t>
  </si>
  <si>
    <t>WSKAŹNIK DO OCENY WRAŻLIWOŚCI 1 (im większa ilość tym większa wrażliwość)</t>
  </si>
  <si>
    <t>Powierzchnia lasów z gatunkami z wysokimi wymaganiami zasobności gleby (DB, JS, JW, WZ, TP)</t>
  </si>
  <si>
    <t>Procentowy udział lasów z gatunkami wrażliwymi na niedobór składników odżywczycj w glebie</t>
  </si>
  <si>
    <t>WSKAŹNIK DO OCENY WRAŻLIWOŚCI 2 (im większa ilość tym większa wrażliwość)</t>
  </si>
  <si>
    <t>Powierzchnia lasów z dominującym świerkiem pospolitym (ŚW)</t>
  </si>
  <si>
    <t>Udział powierzchni świerku w stosunku do powierzchni lasów w gminie (%)</t>
  </si>
  <si>
    <t>WSKAŹNIK DO OCENY WRAŻLIWOŚCI 3 (im większa ilość tym większaa wrażliwość)</t>
  </si>
  <si>
    <t>Powierzchnia lasów z dominującym udziałem gatunków umiarkowanie i bardzo wrażliwe na ocieplanie  (BK, BRZ, ŚW, MD, JRz, JS, LP, WZ, KL, OS, JW)</t>
  </si>
  <si>
    <t xml:space="preserve">Procentowy udział powierzchni zajmowanej przez gatunki wrażliwe na ocieplanie </t>
  </si>
  <si>
    <t>WSKAŹNIK DO OCENY WRAŻLIWOŚCI 4 (im większa ilość tym większa wrażliwość)</t>
  </si>
  <si>
    <t>Powierzchnia lasów z dominującym udziałem gatunkówo wrażliwych na susze (DB, JS, OL, ŚW, WZ, TP)</t>
  </si>
  <si>
    <t xml:space="preserve">Procentowy udział powierzchni zajmowanej przez gatunki o wysokich wymaganiach wodnych </t>
  </si>
  <si>
    <t>Waga procentowego udziału powierzchni leśnej z gatunkami wrażliwymi na suszę</t>
  </si>
  <si>
    <t>WSKAŹNIK DO OCENY WRAŻLIWOŚCI 5 (im większa ilość tym większa wrażliwość)</t>
  </si>
  <si>
    <t>Powierzchnia lsaów z gatunkami podatnymi na czynniki chrorobotwórcze (owady, grzyby, patogeny) (BK, JS, WZ, SO, ŚW)</t>
  </si>
  <si>
    <t>Procentowy udział powierzchni zajmowanej przez gatunki podatne na czynniki chorobotwórcze</t>
  </si>
  <si>
    <t>WSKAŹNIK DO OCENY WRAŻLIWOŚCI 6 (im większa ilość tym większa wrażliwość)</t>
  </si>
  <si>
    <t>Powierzchnia lasu, na jakiej doszło do uszkodzeń w skutek czynników biotycznych, abiotycznych i antropogenicznych</t>
  </si>
  <si>
    <t>Powierzchnia lasu na której doszło do uszkodzenia wskutek czynników klimatycznych i wodnych</t>
  </si>
  <si>
    <t>Procent powierzchni lasu uszkodzonego wskutek czynników klimatycznych i wodnych w stosunku do wszystkich uszkodzeń</t>
  </si>
  <si>
    <t>WSKAŹNIK DO OCENY WRAŻLIWOŚCI 8 (im większa ilość tym większa wrażliwość)</t>
  </si>
  <si>
    <t>WRAŻLIWOŚĆ</t>
  </si>
  <si>
    <t>OCENA WRAŻLIWOŚCI</t>
  </si>
  <si>
    <t>OCENA EKSPOZYCJI NA ZAGROŻENIE</t>
  </si>
  <si>
    <t>WPŁYW ZAGROŻENIA</t>
  </si>
  <si>
    <t>OCENA WPŁYWU ZAGROŻENIA</t>
  </si>
  <si>
    <t>OCENA PODATNOŚCI NA ZAGROŻENIE</t>
  </si>
  <si>
    <t>OCENA KONSEKWNCJI WYSTĄPIENIA ZAGROŻENIA</t>
  </si>
  <si>
    <t>OCENA PRAWDOPODOBIEŃSTWA WYSTĄPIENIA ZAGROŻENIA</t>
  </si>
  <si>
    <t>RYZYKO WPŁYWU ZAGROŻENIA</t>
  </si>
  <si>
    <t>OCENA RYZYKA WPŁYWU ZAGROŻENIA</t>
  </si>
  <si>
    <t>Lwówek Śląski</t>
  </si>
  <si>
    <t>Wojcieszów</t>
  </si>
  <si>
    <t>Złotoryja - gmina miejska</t>
  </si>
  <si>
    <t>Świeradów-Zdrój</t>
  </si>
  <si>
    <t>Podgórzyn</t>
  </si>
  <si>
    <t>Bolków</t>
  </si>
  <si>
    <t>Szklarska Poręba</t>
  </si>
  <si>
    <t>Karpacz</t>
  </si>
  <si>
    <t>Lubomierz</t>
  </si>
  <si>
    <t>Pielgrzymka</t>
  </si>
  <si>
    <t>Świerzawa</t>
  </si>
  <si>
    <t>Złotoryja - gmina wiejska</t>
  </si>
  <si>
    <t>Piechowice</t>
  </si>
  <si>
    <t>Jeżów Sudecki</t>
  </si>
  <si>
    <t>Olszyna</t>
  </si>
  <si>
    <t>Mirsk</t>
  </si>
  <si>
    <t>Leśna</t>
  </si>
  <si>
    <t>Gryfów Śląski</t>
  </si>
  <si>
    <t>Zagrodno</t>
  </si>
  <si>
    <t>Janowice Wielkie</t>
  </si>
  <si>
    <t>Stara Kamienica</t>
  </si>
  <si>
    <t>Jelenia Góra</t>
  </si>
  <si>
    <t>Mysłakowice</t>
  </si>
  <si>
    <t>Wleń</t>
  </si>
  <si>
    <t>Kowary</t>
  </si>
  <si>
    <t>Marciszów</t>
  </si>
  <si>
    <t xml:space="preserve">Powierzchnia gruntów leśnych wszystkich form własności w gminie (m) </t>
  </si>
  <si>
    <t>Powierzchnia lasów gminnych (ha)</t>
  </si>
  <si>
    <t>Powierzchnia lasów z gatunkami z wysokimi wymaganiami zasobności glebyy (DB, JS, JW, WZ, TP)</t>
  </si>
  <si>
    <t>Powierzchnia lasów z przewagą gatunków sucholubnych (AK, OS, BRZ, SO)</t>
  </si>
  <si>
    <t>Udział powierzchni lasów z dominajcją kserofitów</t>
  </si>
  <si>
    <t>Waga udziału procentowego z dominacją gatunków sucholubnych</t>
  </si>
  <si>
    <t>Długość cieków wodnych (m)</t>
  </si>
  <si>
    <t>Udział długości cieków wodnych [m]</t>
  </si>
  <si>
    <t>WSKAŹNIK DO OCENY WRAŻLIWOŚCI 7 (im większa ilość tym mniejsza wrażliwość)</t>
  </si>
  <si>
    <t>Procent powierzchni lasu uszkodzonego wskutek czynników klimatycznych i wodnych w stosunku wsz\ystkich uszkodzeń'</t>
  </si>
  <si>
    <t>WSKAŹNIK DO OCENY WRAŻLIWOŚCI 2 (im większa ilość tym większaa wrażliwość)</t>
  </si>
  <si>
    <t>Powierzchnia lasów z dominującym udziałem gatunków mało odpornych na wiatr (BK, DG, JD,ŚW TP,OL)</t>
  </si>
  <si>
    <t>Procentowy udział powierzchni zajmowanej przez gatunki mało odporne na działanie wiatru</t>
  </si>
  <si>
    <t>WSKAŹNIK DO OCENY WRAŻLIWOŚCI 3 (im większa ilość tym większa wrażliwość)</t>
  </si>
  <si>
    <t>Procent powierzchni lasu uszkodzonego wskutek czynników klimatycznych i wodnych w stosunku do calej powierzchni lasó</t>
  </si>
  <si>
    <t>Waga procentowego udziału lasów z gatunkami wrażliwymi na niedobór składników odżywczych</t>
  </si>
  <si>
    <t>Powierzchnia lasów z gatunkami wrażliwymi na zanieczyszczenia (JD, LP, SO, ŚW, WZ)</t>
  </si>
  <si>
    <t>Powierzchnia lasów z gatunkami najodporniejszymi na zanieczyszczenia powietrza (AK, BK,BRZ,D.CZ)</t>
  </si>
  <si>
    <t xml:space="preserve">Procentowy udział lasów z gatunkami odpornymi na zanieczyszczenia </t>
  </si>
  <si>
    <t xml:space="preserve">Procentowy udział lasów z gatunkami wrażliwymi w stosunku do pwoeirzchni wszystkich lasów </t>
  </si>
  <si>
    <t>WSKAŹNIK DO OCENY WRAŻLIWOŚCI 4 (im większa ilość tym większaa wrażliwość)</t>
  </si>
  <si>
    <t>Procentowy udział lasów z gatunkami wrażliwymi w stosunku do wszystkich lasów w gminie</t>
  </si>
  <si>
    <t>Waga procentowego udziału lasów z gatunkami wrażliwymi na zanieszczyszenia</t>
  </si>
  <si>
    <r>
      <t>Powierzchnia lasów z dominującym udziałem gatunków umiarkowanie i bardzo wrażliwe na ocieplanie  (</t>
    </r>
    <r>
      <rPr>
        <sz val="10"/>
        <rFont val="Arial"/>
        <family val="2"/>
        <charset val="238"/>
      </rPr>
      <t xml:space="preserve">BK, BRZ, </t>
    </r>
    <r>
      <rPr>
        <b/>
        <sz val="10"/>
        <rFont val="Arial"/>
        <family val="2"/>
        <charset val="238"/>
      </rPr>
      <t>ŚW, MD, JRz, JS, LP, WZ, KL, OS, JW)</t>
    </r>
  </si>
  <si>
    <t xml:space="preserve">Procentowy udział powierzchni zajmowanej przez gatunki wrażliwych na ocieplanie </t>
  </si>
  <si>
    <t>WSKAŹNIK DO OCENY WRAŻLIWOŚCI 7 (im większa ilość tym większa wrażliwość)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</si>
</sst>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_(* #,##0.000_);_(* \(#,##0.000\);_(* &quot;-&quot;??_);_(@_)"/>
    <numFmt numFmtId="166" formatCode="#,##0.000"/>
    <numFmt numFmtId="167" formatCode="0.000"/>
    <numFmt numFmtId="168" formatCode="0.0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757171"/>
      </left>
      <right style="thin">
        <color rgb="FF757171"/>
      </right>
      <top style="thin">
        <color rgb="FF757171"/>
      </top>
      <bottom style="thin">
        <color rgb="FF75717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4" fillId="0" borderId="0"/>
  </cellStyleXfs>
  <cellXfs count="113">
    <xf numFmtId="0" fontId="0" fillId="0" borderId="0" xfId="0"/>
    <xf numFmtId="0" fontId="6" fillId="0" borderId="0" xfId="0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2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0" xfId="2" applyNumberFormat="1" applyFont="1" applyFill="1" applyBorder="1" applyAlignment="1">
      <alignment horizontal="center"/>
    </xf>
    <xf numFmtId="9" fontId="6" fillId="0" borderId="0" xfId="2" applyFont="1" applyFill="1" applyBorder="1"/>
    <xf numFmtId="0" fontId="6" fillId="0" borderId="0" xfId="0" applyFont="1" applyAlignment="1">
      <alignment wrapText="1"/>
    </xf>
    <xf numFmtId="10" fontId="0" fillId="0" borderId="0" xfId="2" applyNumberFormat="1" applyFont="1" applyFill="1" applyBorder="1"/>
    <xf numFmtId="0" fontId="2" fillId="0" borderId="0" xfId="0" applyFont="1" applyAlignment="1">
      <alignment wrapText="1"/>
    </xf>
    <xf numFmtId="2" fontId="6" fillId="0" borderId="0" xfId="0" applyNumberFormat="1" applyFont="1"/>
    <xf numFmtId="0" fontId="8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9" fontId="2" fillId="0" borderId="10" xfId="2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2" applyNumberFormat="1" applyFont="1" applyFill="1" applyBorder="1" applyAlignment="1">
      <alignment horizontal="center" vertical="center"/>
    </xf>
    <xf numFmtId="0" fontId="2" fillId="0" borderId="7" xfId="2" applyNumberFormat="1" applyFont="1" applyFill="1" applyBorder="1" applyAlignment="1">
      <alignment horizontal="center" vertical="center"/>
    </xf>
    <xf numFmtId="0" fontId="2" fillId="0" borderId="10" xfId="2" applyNumberFormat="1" applyFont="1" applyFill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9" fontId="8" fillId="0" borderId="1" xfId="2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9" fontId="8" fillId="0" borderId="10" xfId="2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0" fontId="8" fillId="0" borderId="10" xfId="2" applyNumberFormat="1" applyFont="1" applyFill="1" applyBorder="1" applyAlignment="1">
      <alignment horizontal="center" vertical="center"/>
    </xf>
    <xf numFmtId="9" fontId="2" fillId="0" borderId="10" xfId="0" applyNumberFormat="1" applyFont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168" fontId="2" fillId="0" borderId="11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168" fontId="2" fillId="0" borderId="4" xfId="0" applyNumberFormat="1" applyFont="1" applyBorder="1" applyAlignment="1">
      <alignment horizontal="center" vertical="center"/>
    </xf>
    <xf numFmtId="168" fontId="2" fillId="0" borderId="6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8" fontId="2" fillId="0" borderId="0" xfId="0" applyNumberFormat="1" applyFont="1"/>
    <xf numFmtId="168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 wrapText="1"/>
    </xf>
    <xf numFmtId="168" fontId="6" fillId="0" borderId="0" xfId="0" applyNumberFormat="1" applyFont="1"/>
    <xf numFmtId="168" fontId="6" fillId="0" borderId="0" xfId="0" applyNumberFormat="1" applyFont="1" applyAlignment="1">
      <alignment wrapText="1"/>
    </xf>
    <xf numFmtId="0" fontId="5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0" fontId="10" fillId="0" borderId="9" xfId="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8" fontId="13" fillId="0" borderId="4" xfId="0" applyNumberFormat="1" applyFont="1" applyBorder="1" applyAlignment="1">
      <alignment horizontal="center" vertical="center"/>
    </xf>
    <xf numFmtId="10" fontId="13" fillId="0" borderId="1" xfId="2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68" fontId="13" fillId="0" borderId="6" xfId="0" applyNumberFormat="1" applyFont="1" applyBorder="1" applyAlignment="1">
      <alignment horizontal="center" vertical="center"/>
    </xf>
    <xf numFmtId="10" fontId="13" fillId="0" borderId="10" xfId="2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4">
    <cellStyle name="Normalny" xfId="0" builtinId="0"/>
    <cellStyle name="Normalny 2" xfId="1" xr:uid="{00000000-0005-0000-0000-000001000000}"/>
    <cellStyle name="Normalny 3" xfId="3" xr:uid="{00000000-0005-0000-0000-000002000000}"/>
    <cellStyle name="Procentowy" xfId="2" builtinId="5"/>
  </cellStyles>
  <dxfs count="0"/>
  <tableStyles count="0" defaultTableStyle="TableStyleMedium2" defaultPivotStyle="PivotStyleLight16"/>
  <colors>
    <mruColors>
      <color rgb="FFF8696B"/>
      <color rgb="FF63BE7B"/>
      <color rgb="FFD5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9"/>
  <sheetViews>
    <sheetView topLeftCell="Z1" zoomScale="70" zoomScaleNormal="70" workbookViewId="0">
      <selection activeCell="P11" sqref="P11"/>
    </sheetView>
  </sheetViews>
  <sheetFormatPr defaultColWidth="8.7109375" defaultRowHeight="12.75" x14ac:dyDescent="0.2"/>
  <cols>
    <col min="1" max="1" width="8.140625" style="2" customWidth="1"/>
    <col min="2" max="2" width="26.5703125" style="2" bestFit="1" customWidth="1"/>
    <col min="3" max="3" width="14.5703125" style="2" customWidth="1"/>
    <col min="4" max="4" width="15.5703125" style="6" customWidth="1"/>
    <col min="5" max="6" width="14.140625" style="6" customWidth="1"/>
    <col min="7" max="7" width="14.7109375" style="2" customWidth="1"/>
    <col min="8" max="8" width="14.140625" style="2" customWidth="1"/>
    <col min="9" max="9" width="15.7109375" style="2" customWidth="1"/>
    <col min="10" max="12" width="14.7109375" style="2" customWidth="1"/>
    <col min="13" max="15" width="15.140625" style="2" customWidth="1"/>
    <col min="16" max="16" width="18.5703125" style="2" customWidth="1"/>
    <col min="17" max="17" width="14.7109375" style="2" customWidth="1"/>
    <col min="18" max="18" width="14.42578125" style="3" customWidth="1"/>
    <col min="19" max="19" width="15.5703125" style="2" customWidth="1"/>
    <col min="20" max="21" width="14.42578125" style="2" customWidth="1"/>
    <col min="22" max="22" width="15.140625" style="3" customWidth="1"/>
    <col min="23" max="23" width="19.5703125" style="2" customWidth="1"/>
    <col min="24" max="24" width="17.7109375" style="2" customWidth="1"/>
    <col min="25" max="25" width="15.5703125" style="3" customWidth="1"/>
    <col min="26" max="26" width="21" style="2" customWidth="1"/>
    <col min="27" max="27" width="16.5703125" style="2" customWidth="1"/>
    <col min="28" max="28" width="20.85546875" style="2" customWidth="1"/>
    <col min="29" max="29" width="17.5703125" style="3" customWidth="1"/>
    <col min="30" max="30" width="15.7109375" style="8" customWidth="1"/>
    <col min="31" max="31" width="15.42578125" style="1" customWidth="1"/>
    <col min="32" max="32" width="14.5703125" style="1" customWidth="1"/>
    <col min="33" max="33" width="15.140625" style="1" customWidth="1"/>
    <col min="34" max="34" width="16" style="1" customWidth="1"/>
    <col min="35" max="35" width="15.140625" style="1" customWidth="1"/>
    <col min="36" max="36" width="14.5703125" style="1" customWidth="1"/>
    <col min="37" max="37" width="18" style="1" customWidth="1"/>
    <col min="38" max="38" width="16.28515625" style="1" customWidth="1"/>
    <col min="39" max="39" width="14.42578125" style="3" customWidth="1"/>
    <col min="40" max="41" width="8.7109375" style="3"/>
    <col min="42" max="42" width="8.7109375" style="3" customWidth="1"/>
    <col min="43" max="49" width="8.7109375" style="3"/>
    <col min="50" max="16384" width="8.7109375" style="2"/>
  </cols>
  <sheetData>
    <row r="1" spans="1:52" ht="151.5" customHeight="1" x14ac:dyDescent="0.2">
      <c r="A1" s="16" t="s">
        <v>0</v>
      </c>
      <c r="B1" s="17" t="s">
        <v>1</v>
      </c>
      <c r="C1" s="12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4" t="s">
        <v>8</v>
      </c>
      <c r="J1" s="12" t="s">
        <v>9</v>
      </c>
      <c r="K1" s="13" t="s">
        <v>10</v>
      </c>
      <c r="L1" s="14" t="s">
        <v>11</v>
      </c>
      <c r="M1" s="12" t="s">
        <v>12</v>
      </c>
      <c r="N1" s="13" t="s">
        <v>13</v>
      </c>
      <c r="O1" s="14" t="s">
        <v>14</v>
      </c>
      <c r="P1" s="12" t="s">
        <v>15</v>
      </c>
      <c r="Q1" s="13" t="s">
        <v>16</v>
      </c>
      <c r="R1" s="14" t="s">
        <v>17</v>
      </c>
      <c r="S1" s="12" t="s">
        <v>18</v>
      </c>
      <c r="T1" s="13" t="s">
        <v>19</v>
      </c>
      <c r="U1" s="13" t="s">
        <v>20</v>
      </c>
      <c r="V1" s="14" t="s">
        <v>21</v>
      </c>
      <c r="W1" s="12" t="s">
        <v>22</v>
      </c>
      <c r="X1" s="13" t="s">
        <v>23</v>
      </c>
      <c r="Y1" s="14" t="s">
        <v>24</v>
      </c>
      <c r="Z1" s="20" t="s">
        <v>25</v>
      </c>
      <c r="AA1" s="13" t="s">
        <v>26</v>
      </c>
      <c r="AB1" s="13" t="s">
        <v>27</v>
      </c>
      <c r="AC1" s="14" t="s">
        <v>28</v>
      </c>
      <c r="AD1" s="21" t="s">
        <v>29</v>
      </c>
      <c r="AE1" s="22" t="s">
        <v>30</v>
      </c>
      <c r="AF1" s="11" t="s">
        <v>31</v>
      </c>
      <c r="AG1" s="24" t="s">
        <v>32</v>
      </c>
      <c r="AH1" s="22" t="s">
        <v>33</v>
      </c>
      <c r="AI1" s="22" t="s">
        <v>34</v>
      </c>
      <c r="AJ1" s="10" t="s">
        <v>35</v>
      </c>
      <c r="AK1" s="10" t="s">
        <v>36</v>
      </c>
      <c r="AL1" s="10" t="s">
        <v>37</v>
      </c>
      <c r="AM1" s="10" t="s">
        <v>38</v>
      </c>
    </row>
    <row r="2" spans="1:52" ht="15" x14ac:dyDescent="0.2">
      <c r="A2" s="18">
        <v>1</v>
      </c>
      <c r="B2" s="47" t="s">
        <v>39</v>
      </c>
      <c r="C2" s="15">
        <v>24016.080000000002</v>
      </c>
      <c r="D2" s="39">
        <v>6385.7330000000002</v>
      </c>
      <c r="E2" s="39">
        <v>6168.7169999999996</v>
      </c>
      <c r="F2" s="39">
        <v>36.640999999999998</v>
      </c>
      <c r="G2" s="39">
        <v>67</v>
      </c>
      <c r="H2" s="40">
        <f t="shared" ref="H2:H27" si="0">E2/C2</f>
        <v>0.25685778028720752</v>
      </c>
      <c r="I2" s="41">
        <f t="shared" ref="I2:I27" si="1">IF(H2&lt;10%,1,IF(H2&lt;20%,2,IF(H2&lt;30%,3,4)))</f>
        <v>3</v>
      </c>
      <c r="J2" s="84">
        <f>1687.589+12.365+3.022+1.171</f>
        <v>1704.1469999999999</v>
      </c>
      <c r="K2" s="40">
        <f t="shared" ref="K2:K27" si="2">J2/E2</f>
        <v>0.27625631067205708</v>
      </c>
      <c r="L2" s="41">
        <f t="shared" ref="L2:L27" si="3">IF(K2&lt;5%,1,IF(K2&lt;15%,2,IF(K2&lt;25%,3,4)))</f>
        <v>4</v>
      </c>
      <c r="M2" s="81">
        <f>906.724+13.734</f>
        <v>920.45800000000008</v>
      </c>
      <c r="N2" s="40">
        <f t="shared" ref="N2:N27" si="4">M2/E2</f>
        <v>0.14921384787144557</v>
      </c>
      <c r="O2" s="53">
        <f t="shared" ref="O2:O27" si="5">IF(N2&lt;5%,1,IF(N2&lt;20%,2,IF(N2&lt;40%,3,4)))</f>
        <v>2</v>
      </c>
      <c r="P2" s="81">
        <f>1794.6+M2</f>
        <v>2715.058</v>
      </c>
      <c r="Q2" s="74">
        <f>P2/E2</f>
        <v>0.44013333728877496</v>
      </c>
      <c r="R2" s="41">
        <f t="shared" ref="R2:R27" si="6">IF(Q2&lt;10%,1,IF(Q2&lt;30%,2,IF(Q2&lt;50%,3,IF(Q2&gt;50%,4))))</f>
        <v>3</v>
      </c>
      <c r="S2" s="84">
        <f>2076.492+M2</f>
        <v>2996.9500000000003</v>
      </c>
      <c r="T2" s="40">
        <f t="shared" ref="T2:T27" si="7">S2/E2</f>
        <v>0.48583035986251283</v>
      </c>
      <c r="U2" s="42">
        <f t="shared" ref="U2:U27" si="8">V2*2</f>
        <v>6</v>
      </c>
      <c r="V2" s="41">
        <f t="shared" ref="V2:V27" si="9">IF(T2&lt;10%,1,IF(T2&lt;40%,2,IF(T2&lt;60%,3,IF(T2&gt;60%,4))))</f>
        <v>3</v>
      </c>
      <c r="W2" s="81">
        <v>2661.2779999999998</v>
      </c>
      <c r="X2" s="40">
        <f t="shared" ref="X2:X27" si="10">W2/E2</f>
        <v>0.43141515488552967</v>
      </c>
      <c r="Y2" s="41">
        <f t="shared" ref="Y2:Y27" si="11">IF(X2&lt;15%,1,IF(X2&lt;40%,2,IF(X2&lt;70%,3,IF(X2&lt;100%,4))))</f>
        <v>3</v>
      </c>
      <c r="Z2" s="15">
        <v>2752.9920000000002</v>
      </c>
      <c r="AA2" s="39">
        <v>986.7</v>
      </c>
      <c r="AB2" s="40">
        <f t="shared" ref="AB2:AB27" si="12">AA2/E2</f>
        <v>0.15995222345262397</v>
      </c>
      <c r="AC2" s="41">
        <f t="shared" ref="AC2:AC27" si="13">IF(AB2&lt;5%,1,IF(AB2&lt;15%,2,IF(AB2&lt;25%,3,IF(AB2&lt;40,4))))</f>
        <v>3</v>
      </c>
      <c r="AD2" s="82">
        <f t="shared" ref="AD2:AD27" si="14">(AC2+Y2+U2+R2+O2+L2+I2)/7</f>
        <v>3.4285714285714284</v>
      </c>
      <c r="AE2" s="60">
        <f t="shared" ref="AE2:AE27" si="15">IF(AD2&lt;1.5,1,IF(AD2&lt;2.5,2,IF(AD2&lt;4,3,4)))</f>
        <v>3</v>
      </c>
      <c r="AF2" s="58">
        <v>4</v>
      </c>
      <c r="AG2" s="59">
        <f t="shared" ref="AG2:AG27" si="16">AE2*AF2</f>
        <v>12</v>
      </c>
      <c r="AH2" s="60">
        <f t="shared" ref="AH2:AH27" si="17">IF(AG2&lt;3,1,IF(AG2&lt;5,2,IF(AG2&lt;12,3,4)))</f>
        <v>4</v>
      </c>
      <c r="AI2" s="65">
        <v>4</v>
      </c>
      <c r="AJ2" s="23">
        <v>3</v>
      </c>
      <c r="AK2" s="23">
        <v>7</v>
      </c>
      <c r="AL2" s="23">
        <f t="shared" ref="AL2:AL27" si="18">AJ2*AK2</f>
        <v>21</v>
      </c>
      <c r="AM2" s="95">
        <f t="shared" ref="AM2:AM27" si="19">IF(AL2&lt;6,1,IF(AL2&lt;12,2,IF(AL2&lt;18,3,4)))</f>
        <v>4</v>
      </c>
    </row>
    <row r="3" spans="1:52" ht="15" x14ac:dyDescent="0.2">
      <c r="A3" s="18">
        <v>2</v>
      </c>
      <c r="B3" s="47" t="s">
        <v>40</v>
      </c>
      <c r="C3" s="15">
        <v>3218.24</v>
      </c>
      <c r="D3" s="39">
        <v>1530.242</v>
      </c>
      <c r="E3" s="39">
        <v>1499.578</v>
      </c>
      <c r="F3" s="39">
        <v>0.13700000000000001</v>
      </c>
      <c r="G3" s="39">
        <v>71</v>
      </c>
      <c r="H3" s="40">
        <f t="shared" si="0"/>
        <v>0.46596214079745452</v>
      </c>
      <c r="I3" s="41">
        <f t="shared" si="1"/>
        <v>4</v>
      </c>
      <c r="J3" s="84">
        <v>362.15199999999999</v>
      </c>
      <c r="K3" s="40">
        <f t="shared" si="2"/>
        <v>0.24150260940077808</v>
      </c>
      <c r="L3" s="41">
        <f t="shared" si="3"/>
        <v>3</v>
      </c>
      <c r="M3" s="81">
        <v>532.70000000000005</v>
      </c>
      <c r="N3" s="40">
        <f t="shared" si="4"/>
        <v>0.35523327229393875</v>
      </c>
      <c r="O3" s="53">
        <f t="shared" si="5"/>
        <v>3</v>
      </c>
      <c r="P3" s="81">
        <f>765.278+M3</f>
        <v>1297.9780000000001</v>
      </c>
      <c r="Q3" s="74">
        <f>P3/E3</f>
        <v>0.86556217815945558</v>
      </c>
      <c r="R3" s="41">
        <f t="shared" si="6"/>
        <v>4</v>
      </c>
      <c r="S3" s="84">
        <f>323.513+M3</f>
        <v>856.21299999999997</v>
      </c>
      <c r="T3" s="40">
        <f t="shared" si="7"/>
        <v>0.57096929936288743</v>
      </c>
      <c r="U3" s="42">
        <f t="shared" si="8"/>
        <v>6</v>
      </c>
      <c r="V3" s="41">
        <f t="shared" si="9"/>
        <v>3</v>
      </c>
      <c r="W3" s="81">
        <f>569.513+M3</f>
        <v>1102.2130000000002</v>
      </c>
      <c r="X3" s="40">
        <f t="shared" si="10"/>
        <v>0.73501545101355192</v>
      </c>
      <c r="Y3" s="41">
        <f t="shared" si="11"/>
        <v>4</v>
      </c>
      <c r="Z3" s="15">
        <v>1269.4590000000001</v>
      </c>
      <c r="AA3" s="39">
        <v>413.60700000000003</v>
      </c>
      <c r="AB3" s="40">
        <f t="shared" si="12"/>
        <v>0.27581559612104206</v>
      </c>
      <c r="AC3" s="41">
        <f t="shared" si="13"/>
        <v>4</v>
      </c>
      <c r="AD3" s="82">
        <f t="shared" si="14"/>
        <v>4</v>
      </c>
      <c r="AE3" s="60">
        <f t="shared" si="15"/>
        <v>4</v>
      </c>
      <c r="AF3" s="58">
        <v>3</v>
      </c>
      <c r="AG3" s="59">
        <f t="shared" si="16"/>
        <v>12</v>
      </c>
      <c r="AH3" s="60">
        <f t="shared" si="17"/>
        <v>4</v>
      </c>
      <c r="AI3" s="65">
        <v>4</v>
      </c>
      <c r="AJ3" s="23">
        <v>3</v>
      </c>
      <c r="AK3" s="23">
        <v>6</v>
      </c>
      <c r="AL3" s="23">
        <f t="shared" si="18"/>
        <v>18</v>
      </c>
      <c r="AM3" s="95">
        <f t="shared" si="19"/>
        <v>4</v>
      </c>
    </row>
    <row r="4" spans="1:52" ht="15" x14ac:dyDescent="0.2">
      <c r="A4" s="18">
        <v>3</v>
      </c>
      <c r="B4" s="49" t="s">
        <v>41</v>
      </c>
      <c r="C4" s="15">
        <v>1150.71</v>
      </c>
      <c r="D4" s="39">
        <v>53.204999999999998</v>
      </c>
      <c r="E4" s="39">
        <v>50.284999999999997</v>
      </c>
      <c r="F4" s="39">
        <v>14.334</v>
      </c>
      <c r="G4" s="39">
        <v>80</v>
      </c>
      <c r="H4" s="40">
        <f t="shared" si="0"/>
        <v>4.3699107507538817E-2</v>
      </c>
      <c r="I4" s="41">
        <f t="shared" si="1"/>
        <v>1</v>
      </c>
      <c r="J4" s="84">
        <v>38.387</v>
      </c>
      <c r="K4" s="40">
        <f t="shared" si="2"/>
        <v>0.76338868449835939</v>
      </c>
      <c r="L4" s="41">
        <f t="shared" si="3"/>
        <v>4</v>
      </c>
      <c r="M4" s="81">
        <v>3.2050000000000001</v>
      </c>
      <c r="N4" s="40">
        <f t="shared" si="4"/>
        <v>6.3736700805409177E-2</v>
      </c>
      <c r="O4" s="53">
        <f t="shared" si="5"/>
        <v>2</v>
      </c>
      <c r="P4" s="81">
        <f>M4+13.698</f>
        <v>16.902999999999999</v>
      </c>
      <c r="Q4" s="74">
        <f>P4/D4</f>
        <v>0.31769570529085611</v>
      </c>
      <c r="R4" s="41">
        <f t="shared" si="6"/>
        <v>3</v>
      </c>
      <c r="S4" s="84">
        <f>33.648+M4</f>
        <v>36.853000000000002</v>
      </c>
      <c r="T4" s="40">
        <f t="shared" si="7"/>
        <v>0.73288256935467844</v>
      </c>
      <c r="U4" s="42">
        <f t="shared" si="8"/>
        <v>8</v>
      </c>
      <c r="V4" s="41">
        <f t="shared" si="9"/>
        <v>4</v>
      </c>
      <c r="W4" s="81">
        <f>6.484+M4</f>
        <v>9.6890000000000001</v>
      </c>
      <c r="X4" s="40">
        <f t="shared" si="10"/>
        <v>0.19268171422889532</v>
      </c>
      <c r="Y4" s="41">
        <f t="shared" si="11"/>
        <v>2</v>
      </c>
      <c r="Z4" s="15">
        <v>30.716000000000001</v>
      </c>
      <c r="AA4" s="39">
        <v>5.35</v>
      </c>
      <c r="AB4" s="40">
        <f t="shared" si="12"/>
        <v>0.10639355672665805</v>
      </c>
      <c r="AC4" s="41">
        <f t="shared" si="13"/>
        <v>2</v>
      </c>
      <c r="AD4" s="82">
        <f t="shared" si="14"/>
        <v>3.1428571428571428</v>
      </c>
      <c r="AE4" s="60">
        <f t="shared" si="15"/>
        <v>3</v>
      </c>
      <c r="AF4" s="58">
        <v>4</v>
      </c>
      <c r="AG4" s="59">
        <f t="shared" si="16"/>
        <v>12</v>
      </c>
      <c r="AH4" s="60">
        <f t="shared" si="17"/>
        <v>4</v>
      </c>
      <c r="AI4" s="65">
        <v>4</v>
      </c>
      <c r="AJ4" s="23">
        <v>3</v>
      </c>
      <c r="AK4" s="23">
        <v>7</v>
      </c>
      <c r="AL4" s="23">
        <f t="shared" si="18"/>
        <v>21</v>
      </c>
      <c r="AM4" s="95">
        <f t="shared" si="19"/>
        <v>4</v>
      </c>
    </row>
    <row r="5" spans="1:52" ht="15" x14ac:dyDescent="0.2">
      <c r="A5" s="18">
        <v>4</v>
      </c>
      <c r="B5" s="47" t="s">
        <v>42</v>
      </c>
      <c r="C5" s="15">
        <v>2072.1999999999998</v>
      </c>
      <c r="D5" s="39">
        <v>913.41800000000001</v>
      </c>
      <c r="E5" s="39">
        <v>870.41700000000003</v>
      </c>
      <c r="F5" s="39">
        <v>5.0350000000000001</v>
      </c>
      <c r="G5" s="39">
        <v>62</v>
      </c>
      <c r="H5" s="40">
        <f t="shared" si="0"/>
        <v>0.42004487983785355</v>
      </c>
      <c r="I5" s="41">
        <f t="shared" si="1"/>
        <v>4</v>
      </c>
      <c r="J5" s="84">
        <v>47.435000000000002</v>
      </c>
      <c r="K5" s="40">
        <f t="shared" si="2"/>
        <v>5.4496867593348937E-2</v>
      </c>
      <c r="L5" s="41">
        <f t="shared" si="3"/>
        <v>2</v>
      </c>
      <c r="M5" s="81">
        <v>598.63</v>
      </c>
      <c r="N5" s="40">
        <f t="shared" si="4"/>
        <v>0.68775081369044944</v>
      </c>
      <c r="O5" s="53">
        <f t="shared" si="5"/>
        <v>4</v>
      </c>
      <c r="P5" s="81">
        <v>204.10900000000001</v>
      </c>
      <c r="Q5" s="74">
        <f>P5/E5</f>
        <v>0.23449564978625187</v>
      </c>
      <c r="R5" s="41">
        <f t="shared" si="6"/>
        <v>2</v>
      </c>
      <c r="S5" s="84">
        <f>23.696+M5</f>
        <v>622.32600000000002</v>
      </c>
      <c r="T5" s="40">
        <f t="shared" si="7"/>
        <v>0.71497454668279692</v>
      </c>
      <c r="U5" s="42">
        <f t="shared" si="8"/>
        <v>8</v>
      </c>
      <c r="V5" s="41">
        <f t="shared" si="9"/>
        <v>4</v>
      </c>
      <c r="W5" s="81">
        <f>88.824+M5</f>
        <v>687.45399999999995</v>
      </c>
      <c r="X5" s="40">
        <f t="shared" si="10"/>
        <v>0.78979845292543682</v>
      </c>
      <c r="Y5" s="41">
        <f t="shared" si="11"/>
        <v>4</v>
      </c>
      <c r="Z5" s="15">
        <v>819.81700000000001</v>
      </c>
      <c r="AA5" s="39">
        <v>6.2889999999999997</v>
      </c>
      <c r="AB5" s="40">
        <f t="shared" si="12"/>
        <v>7.225272484337966E-3</v>
      </c>
      <c r="AC5" s="41">
        <f t="shared" si="13"/>
        <v>1</v>
      </c>
      <c r="AD5" s="82">
        <f t="shared" si="14"/>
        <v>3.5714285714285716</v>
      </c>
      <c r="AE5" s="60">
        <f t="shared" si="15"/>
        <v>3</v>
      </c>
      <c r="AF5" s="58">
        <v>2</v>
      </c>
      <c r="AG5" s="59">
        <f t="shared" si="16"/>
        <v>6</v>
      </c>
      <c r="AH5" s="60">
        <f t="shared" si="17"/>
        <v>3</v>
      </c>
      <c r="AI5" s="64">
        <v>3</v>
      </c>
      <c r="AJ5" s="23">
        <v>3</v>
      </c>
      <c r="AK5" s="23">
        <v>5</v>
      </c>
      <c r="AL5" s="23">
        <f t="shared" si="18"/>
        <v>15</v>
      </c>
      <c r="AM5" s="94">
        <f t="shared" si="19"/>
        <v>3</v>
      </c>
    </row>
    <row r="6" spans="1:52" ht="15" x14ac:dyDescent="0.2">
      <c r="A6" s="18">
        <v>5</v>
      </c>
      <c r="B6" s="47" t="s">
        <v>43</v>
      </c>
      <c r="C6" s="15">
        <v>8249.25</v>
      </c>
      <c r="D6" s="39">
        <f>4484.424+544.68</f>
        <v>5029.1040000000003</v>
      </c>
      <c r="E6" s="39">
        <f>4107.924+346.657</f>
        <v>4454.5810000000001</v>
      </c>
      <c r="F6" s="39">
        <v>3.2559999999999998</v>
      </c>
      <c r="G6" s="39">
        <v>75</v>
      </c>
      <c r="H6" s="40">
        <f t="shared" si="0"/>
        <v>0.53999830287601902</v>
      </c>
      <c r="I6" s="41">
        <f t="shared" si="1"/>
        <v>4</v>
      </c>
      <c r="J6" s="84">
        <v>242.732</v>
      </c>
      <c r="K6" s="40">
        <f t="shared" si="2"/>
        <v>5.4490422331527927E-2</v>
      </c>
      <c r="L6" s="41">
        <f t="shared" si="3"/>
        <v>2</v>
      </c>
      <c r="M6" s="81">
        <f>2747.98+345.901</f>
        <v>3093.8809999999999</v>
      </c>
      <c r="N6" s="40">
        <f t="shared" si="4"/>
        <v>0.69453917214660588</v>
      </c>
      <c r="O6" s="53">
        <f t="shared" si="5"/>
        <v>4</v>
      </c>
      <c r="P6" s="81">
        <f>930.071+M6+0.756</f>
        <v>4024.7079999999996</v>
      </c>
      <c r="Q6" s="74">
        <f>P6/E6</f>
        <v>0.90349866800042467</v>
      </c>
      <c r="R6" s="41">
        <f t="shared" si="6"/>
        <v>4</v>
      </c>
      <c r="S6" s="84">
        <f>205.47+M6</f>
        <v>3299.3509999999997</v>
      </c>
      <c r="T6" s="40">
        <f t="shared" si="7"/>
        <v>0.7406647224508881</v>
      </c>
      <c r="U6" s="42">
        <f t="shared" si="8"/>
        <v>8</v>
      </c>
      <c r="V6" s="41">
        <f t="shared" si="9"/>
        <v>4</v>
      </c>
      <c r="W6" s="81">
        <f>604.656+M6</f>
        <v>3698.5369999999998</v>
      </c>
      <c r="X6" s="40">
        <f t="shared" si="10"/>
        <v>0.83027719105343456</v>
      </c>
      <c r="Y6" s="41">
        <f t="shared" si="11"/>
        <v>4</v>
      </c>
      <c r="Z6" s="15">
        <v>3300.3150000000001</v>
      </c>
      <c r="AA6" s="39">
        <v>314.87799999999999</v>
      </c>
      <c r="AB6" s="40">
        <f t="shared" si="12"/>
        <v>7.0686333911090624E-2</v>
      </c>
      <c r="AC6" s="41">
        <f t="shared" si="13"/>
        <v>2</v>
      </c>
      <c r="AD6" s="82">
        <f t="shared" si="14"/>
        <v>4</v>
      </c>
      <c r="AE6" s="60">
        <f t="shared" si="15"/>
        <v>4</v>
      </c>
      <c r="AF6" s="58">
        <v>2</v>
      </c>
      <c r="AG6" s="59">
        <f t="shared" si="16"/>
        <v>8</v>
      </c>
      <c r="AH6" s="60">
        <f t="shared" si="17"/>
        <v>3</v>
      </c>
      <c r="AI6" s="64">
        <v>3</v>
      </c>
      <c r="AJ6" s="23">
        <v>3</v>
      </c>
      <c r="AK6" s="23">
        <v>5</v>
      </c>
      <c r="AL6" s="23">
        <f t="shared" si="18"/>
        <v>15</v>
      </c>
      <c r="AM6" s="94">
        <f t="shared" si="19"/>
        <v>3</v>
      </c>
    </row>
    <row r="7" spans="1:52" ht="15" x14ac:dyDescent="0.2">
      <c r="A7" s="18">
        <v>6</v>
      </c>
      <c r="B7" s="47" t="s">
        <v>44</v>
      </c>
      <c r="C7" s="15">
        <v>15254.96</v>
      </c>
      <c r="D7" s="39">
        <v>4533.4790000000003</v>
      </c>
      <c r="E7" s="39">
        <v>4403.652</v>
      </c>
      <c r="F7" s="39">
        <v>39.305999999999997</v>
      </c>
      <c r="G7" s="39">
        <v>70</v>
      </c>
      <c r="H7" s="40">
        <f t="shared" si="0"/>
        <v>0.2886701767818467</v>
      </c>
      <c r="I7" s="41">
        <f t="shared" si="1"/>
        <v>3</v>
      </c>
      <c r="J7" s="84">
        <v>1793.902</v>
      </c>
      <c r="K7" s="40">
        <f t="shared" si="2"/>
        <v>0.4073668854850474</v>
      </c>
      <c r="L7" s="41">
        <f t="shared" si="3"/>
        <v>4</v>
      </c>
      <c r="M7" s="81">
        <v>1620.4559999999999</v>
      </c>
      <c r="N7" s="40">
        <f t="shared" si="4"/>
        <v>0.36798003111962524</v>
      </c>
      <c r="O7" s="53">
        <f t="shared" si="5"/>
        <v>3</v>
      </c>
      <c r="P7" s="81">
        <f>1151.428+M7</f>
        <v>2771.884</v>
      </c>
      <c r="Q7" s="74">
        <f>P7/D7</f>
        <v>0.61142535346474525</v>
      </c>
      <c r="R7" s="41">
        <f t="shared" si="6"/>
        <v>4</v>
      </c>
      <c r="S7" s="84">
        <f>1709.426+M7</f>
        <v>3329.8819999999996</v>
      </c>
      <c r="T7" s="40">
        <f t="shared" si="7"/>
        <v>0.75616374772575112</v>
      </c>
      <c r="U7" s="42">
        <f t="shared" si="8"/>
        <v>8</v>
      </c>
      <c r="V7" s="41">
        <f t="shared" si="9"/>
        <v>4</v>
      </c>
      <c r="W7" s="81">
        <f>853.031+M7</f>
        <v>2473.4870000000001</v>
      </c>
      <c r="X7" s="40">
        <f t="shared" si="10"/>
        <v>0.56168993371864995</v>
      </c>
      <c r="Y7" s="41">
        <f t="shared" si="11"/>
        <v>3</v>
      </c>
      <c r="Z7" s="15">
        <v>2789.2449999999999</v>
      </c>
      <c r="AA7" s="39">
        <v>2023.6759999999999</v>
      </c>
      <c r="AB7" s="40">
        <f t="shared" si="12"/>
        <v>0.45954494133505552</v>
      </c>
      <c r="AC7" s="41">
        <f t="shared" si="13"/>
        <v>4</v>
      </c>
      <c r="AD7" s="82">
        <f t="shared" si="14"/>
        <v>4.1428571428571432</v>
      </c>
      <c r="AE7" s="60">
        <f t="shared" si="15"/>
        <v>4</v>
      </c>
      <c r="AF7" s="58">
        <v>3</v>
      </c>
      <c r="AG7" s="59">
        <f t="shared" si="16"/>
        <v>12</v>
      </c>
      <c r="AH7" s="60">
        <f t="shared" si="17"/>
        <v>4</v>
      </c>
      <c r="AI7" s="65">
        <v>4</v>
      </c>
      <c r="AJ7" s="23">
        <v>3</v>
      </c>
      <c r="AK7" s="23">
        <v>7</v>
      </c>
      <c r="AL7" s="23">
        <f t="shared" si="18"/>
        <v>21</v>
      </c>
      <c r="AM7" s="95">
        <f t="shared" si="19"/>
        <v>4</v>
      </c>
    </row>
    <row r="8" spans="1:52" ht="15" x14ac:dyDescent="0.2">
      <c r="A8" s="18">
        <v>7</v>
      </c>
      <c r="B8" s="47" t="s">
        <v>45</v>
      </c>
      <c r="C8" s="15">
        <v>7544.51</v>
      </c>
      <c r="D8" s="39">
        <f>5458.694+1032.261</f>
        <v>6490.9549999999999</v>
      </c>
      <c r="E8" s="39">
        <f>5363.368+759.835</f>
        <v>6123.2030000000004</v>
      </c>
      <c r="F8" s="39">
        <v>48.709000000000003</v>
      </c>
      <c r="G8" s="39">
        <v>69</v>
      </c>
      <c r="H8" s="40">
        <f t="shared" si="0"/>
        <v>0.81161042930554805</v>
      </c>
      <c r="I8" s="41">
        <f t="shared" si="1"/>
        <v>4</v>
      </c>
      <c r="J8" s="84">
        <v>5.8440000000000003</v>
      </c>
      <c r="K8" s="43">
        <f t="shared" si="2"/>
        <v>9.5440245897449418E-4</v>
      </c>
      <c r="L8" s="41">
        <f t="shared" si="3"/>
        <v>1</v>
      </c>
      <c r="M8" s="81">
        <f>5059.394+759.017</f>
        <v>5818.4110000000001</v>
      </c>
      <c r="N8" s="40">
        <f t="shared" si="4"/>
        <v>0.95022343698224598</v>
      </c>
      <c r="O8" s="53">
        <f t="shared" si="5"/>
        <v>4</v>
      </c>
      <c r="P8" s="81">
        <f>114.593+M8+0.337+0.477+0.004</f>
        <v>5933.8220000000001</v>
      </c>
      <c r="Q8" s="74">
        <f t="shared" ref="Q8:Q13" si="20">P8/E8</f>
        <v>0.96907157904123054</v>
      </c>
      <c r="R8" s="41">
        <f t="shared" si="6"/>
        <v>4</v>
      </c>
      <c r="S8" s="84">
        <f>5.066+M8</f>
        <v>5823.4769999999999</v>
      </c>
      <c r="T8" s="40">
        <f t="shared" si="7"/>
        <v>0.95105078175588809</v>
      </c>
      <c r="U8" s="42">
        <f t="shared" si="8"/>
        <v>8</v>
      </c>
      <c r="V8" s="41">
        <f t="shared" si="9"/>
        <v>4</v>
      </c>
      <c r="W8" s="81">
        <f>M8+114.681+0.004</f>
        <v>5933.0959999999995</v>
      </c>
      <c r="X8" s="40">
        <f t="shared" si="10"/>
        <v>0.96895301364334963</v>
      </c>
      <c r="Y8" s="41">
        <f t="shared" si="11"/>
        <v>4</v>
      </c>
      <c r="Z8" s="15">
        <v>5154.2719999999999</v>
      </c>
      <c r="AA8" s="39">
        <v>1830.9960000000001</v>
      </c>
      <c r="AB8" s="40">
        <f t="shared" si="12"/>
        <v>0.29902585297270073</v>
      </c>
      <c r="AC8" s="41">
        <f t="shared" si="13"/>
        <v>4</v>
      </c>
      <c r="AD8" s="82">
        <f t="shared" si="14"/>
        <v>4.1428571428571432</v>
      </c>
      <c r="AE8" s="60">
        <f t="shared" si="15"/>
        <v>4</v>
      </c>
      <c r="AF8" s="58">
        <v>1</v>
      </c>
      <c r="AG8" s="59">
        <f t="shared" si="16"/>
        <v>4</v>
      </c>
      <c r="AH8" s="60">
        <f t="shared" si="17"/>
        <v>2</v>
      </c>
      <c r="AI8" s="63">
        <v>2</v>
      </c>
      <c r="AJ8" s="23">
        <v>3</v>
      </c>
      <c r="AK8" s="23">
        <v>5</v>
      </c>
      <c r="AL8" s="23">
        <f t="shared" si="18"/>
        <v>15</v>
      </c>
      <c r="AM8" s="94">
        <f t="shared" si="19"/>
        <v>3</v>
      </c>
    </row>
    <row r="9" spans="1:52" ht="15" x14ac:dyDescent="0.2">
      <c r="A9" s="18">
        <v>8</v>
      </c>
      <c r="B9" s="47" t="s">
        <v>46</v>
      </c>
      <c r="C9" s="15">
        <v>3799.2</v>
      </c>
      <c r="D9" s="39">
        <f>1226.63+2004.323</f>
        <v>3230.9530000000004</v>
      </c>
      <c r="E9" s="39">
        <f>1202.96+1271.378</f>
        <v>2474.3379999999997</v>
      </c>
      <c r="F9" s="39">
        <v>18.247</v>
      </c>
      <c r="G9" s="39">
        <v>71</v>
      </c>
      <c r="H9" s="40">
        <f t="shared" si="0"/>
        <v>0.65127869025057905</v>
      </c>
      <c r="I9" s="41">
        <f t="shared" si="1"/>
        <v>4</v>
      </c>
      <c r="J9" s="84">
        <f>12.398+0.89</f>
        <v>13.288</v>
      </c>
      <c r="K9" s="40">
        <f t="shared" si="2"/>
        <v>5.3703253152964561E-3</v>
      </c>
      <c r="L9" s="41">
        <f t="shared" si="3"/>
        <v>1</v>
      </c>
      <c r="M9" s="81">
        <f>941.456+1148.167</f>
        <v>2089.623</v>
      </c>
      <c r="N9" s="40">
        <f t="shared" si="4"/>
        <v>0.84451800845317015</v>
      </c>
      <c r="O9" s="53">
        <f t="shared" si="5"/>
        <v>4</v>
      </c>
      <c r="P9" s="81">
        <f>251.334+M9+16.804+25.856+3.004+76.657</f>
        <v>2463.2780000000002</v>
      </c>
      <c r="Q9" s="75">
        <f t="shared" si="20"/>
        <v>0.99553011755063392</v>
      </c>
      <c r="R9" s="41">
        <f t="shared" si="6"/>
        <v>4</v>
      </c>
      <c r="S9" s="84">
        <f>1.193+M9</f>
        <v>2090.8160000000003</v>
      </c>
      <c r="T9" s="40">
        <f t="shared" si="7"/>
        <v>0.84500015761791658</v>
      </c>
      <c r="U9" s="42">
        <f t="shared" si="8"/>
        <v>8</v>
      </c>
      <c r="V9" s="41">
        <f t="shared" si="9"/>
        <v>4</v>
      </c>
      <c r="W9" s="81">
        <f>49.884+M9+16.804</f>
        <v>2156.3110000000001</v>
      </c>
      <c r="X9" s="40">
        <f t="shared" si="10"/>
        <v>0.8714698638585352</v>
      </c>
      <c r="Y9" s="41">
        <f t="shared" si="11"/>
        <v>4</v>
      </c>
      <c r="Z9" s="15">
        <v>1169.921</v>
      </c>
      <c r="AA9" s="39">
        <v>301.07299999999998</v>
      </c>
      <c r="AB9" s="40">
        <f t="shared" si="12"/>
        <v>0.12167820241211993</v>
      </c>
      <c r="AC9" s="41">
        <f t="shared" si="13"/>
        <v>2</v>
      </c>
      <c r="AD9" s="82">
        <f t="shared" si="14"/>
        <v>3.8571428571428572</v>
      </c>
      <c r="AE9" s="60">
        <f t="shared" si="15"/>
        <v>3</v>
      </c>
      <c r="AF9" s="58">
        <v>1</v>
      </c>
      <c r="AG9" s="59">
        <f t="shared" si="16"/>
        <v>3</v>
      </c>
      <c r="AH9" s="60">
        <f t="shared" si="17"/>
        <v>2</v>
      </c>
      <c r="AI9" s="63">
        <v>2</v>
      </c>
      <c r="AJ9" s="23">
        <v>3</v>
      </c>
      <c r="AK9" s="23">
        <v>5</v>
      </c>
      <c r="AL9" s="23">
        <f t="shared" si="18"/>
        <v>15</v>
      </c>
      <c r="AM9" s="94">
        <f t="shared" si="19"/>
        <v>3</v>
      </c>
    </row>
    <row r="10" spans="1:52" ht="15" x14ac:dyDescent="0.2">
      <c r="A10" s="18">
        <v>9</v>
      </c>
      <c r="B10" s="47" t="s">
        <v>47</v>
      </c>
      <c r="C10" s="15">
        <v>13032.67</v>
      </c>
      <c r="D10" s="39">
        <v>3043.2350000000001</v>
      </c>
      <c r="E10" s="39">
        <v>2962.317</v>
      </c>
      <c r="F10" s="39">
        <v>0</v>
      </c>
      <c r="G10" s="39">
        <v>65</v>
      </c>
      <c r="H10" s="40">
        <f t="shared" si="0"/>
        <v>0.22729931779136586</v>
      </c>
      <c r="I10" s="41">
        <f t="shared" si="1"/>
        <v>3</v>
      </c>
      <c r="J10" s="84">
        <v>691.61400000000003</v>
      </c>
      <c r="K10" s="40">
        <f t="shared" si="2"/>
        <v>0.23347062451452699</v>
      </c>
      <c r="L10" s="41">
        <f t="shared" si="3"/>
        <v>3</v>
      </c>
      <c r="M10" s="81">
        <v>1137.4079999999999</v>
      </c>
      <c r="N10" s="40">
        <f t="shared" si="4"/>
        <v>0.38395890784139575</v>
      </c>
      <c r="O10" s="53">
        <f t="shared" si="5"/>
        <v>3</v>
      </c>
      <c r="P10" s="81">
        <f>816.45+M10</f>
        <v>1953.8579999999999</v>
      </c>
      <c r="Q10" s="74">
        <f t="shared" si="20"/>
        <v>0.65957086969422918</v>
      </c>
      <c r="R10" s="41">
        <f t="shared" si="6"/>
        <v>4</v>
      </c>
      <c r="S10" s="84">
        <f>M10+718.268</f>
        <v>1855.6759999999999</v>
      </c>
      <c r="T10" s="40">
        <f t="shared" si="7"/>
        <v>0.62642721896407438</v>
      </c>
      <c r="U10" s="42">
        <f t="shared" si="8"/>
        <v>8</v>
      </c>
      <c r="V10" s="41">
        <f t="shared" si="9"/>
        <v>4</v>
      </c>
      <c r="W10" s="81">
        <f>651.875+M10</f>
        <v>1789.2829999999999</v>
      </c>
      <c r="X10" s="40">
        <f t="shared" si="10"/>
        <v>0.60401469525374896</v>
      </c>
      <c r="Y10" s="41">
        <f t="shared" si="11"/>
        <v>3</v>
      </c>
      <c r="Z10" s="15">
        <v>1429.96</v>
      </c>
      <c r="AA10" s="39">
        <v>947.75</v>
      </c>
      <c r="AB10" s="40">
        <f t="shared" si="12"/>
        <v>0.31993537491092278</v>
      </c>
      <c r="AC10" s="41">
        <f t="shared" si="13"/>
        <v>4</v>
      </c>
      <c r="AD10" s="82">
        <f t="shared" si="14"/>
        <v>4</v>
      </c>
      <c r="AE10" s="60">
        <f t="shared" si="15"/>
        <v>4</v>
      </c>
      <c r="AF10" s="58">
        <v>3</v>
      </c>
      <c r="AG10" s="59">
        <f t="shared" si="16"/>
        <v>12</v>
      </c>
      <c r="AH10" s="60">
        <f t="shared" si="17"/>
        <v>4</v>
      </c>
      <c r="AI10" s="65">
        <v>4</v>
      </c>
      <c r="AJ10" s="23">
        <v>3</v>
      </c>
      <c r="AK10" s="23">
        <v>6</v>
      </c>
      <c r="AL10" s="23">
        <f t="shared" si="18"/>
        <v>18</v>
      </c>
      <c r="AM10" s="95">
        <f t="shared" si="19"/>
        <v>4</v>
      </c>
    </row>
    <row r="11" spans="1:52" s="5" customFormat="1" ht="15" x14ac:dyDescent="0.2">
      <c r="A11" s="18">
        <v>10</v>
      </c>
      <c r="B11" s="47" t="s">
        <v>48</v>
      </c>
      <c r="C11" s="15">
        <v>10485.299999999999</v>
      </c>
      <c r="D11" s="39">
        <v>1960.377</v>
      </c>
      <c r="E11" s="39">
        <v>1923.1890000000001</v>
      </c>
      <c r="F11" s="39">
        <v>2.9609999999999999</v>
      </c>
      <c r="G11" s="39">
        <v>66</v>
      </c>
      <c r="H11" s="40">
        <f t="shared" si="0"/>
        <v>0.18341764184143516</v>
      </c>
      <c r="I11" s="41">
        <f t="shared" si="1"/>
        <v>2</v>
      </c>
      <c r="J11" s="84">
        <v>703.471</v>
      </c>
      <c r="K11" s="40">
        <f t="shared" si="2"/>
        <v>0.36578360213166777</v>
      </c>
      <c r="L11" s="41">
        <f t="shared" si="3"/>
        <v>4</v>
      </c>
      <c r="M11" s="81">
        <v>193.58699999999999</v>
      </c>
      <c r="N11" s="40">
        <f t="shared" si="4"/>
        <v>0.10065937357170823</v>
      </c>
      <c r="O11" s="53">
        <f t="shared" si="5"/>
        <v>2</v>
      </c>
      <c r="P11" s="81">
        <f>310.744+M11</f>
        <v>504.33100000000002</v>
      </c>
      <c r="Q11" s="74">
        <f t="shared" si="20"/>
        <v>0.26223683683714916</v>
      </c>
      <c r="R11" s="41">
        <f t="shared" si="6"/>
        <v>2</v>
      </c>
      <c r="S11" s="84">
        <f>777.987+M11</f>
        <v>971.57399999999996</v>
      </c>
      <c r="T11" s="40">
        <f t="shared" si="7"/>
        <v>0.50518903758288958</v>
      </c>
      <c r="U11" s="42">
        <f t="shared" si="8"/>
        <v>6</v>
      </c>
      <c r="V11" s="41">
        <f t="shared" si="9"/>
        <v>3</v>
      </c>
      <c r="W11" s="81">
        <f>715.49+M11</f>
        <v>909.077</v>
      </c>
      <c r="X11" s="40">
        <f t="shared" si="10"/>
        <v>0.47269249148159642</v>
      </c>
      <c r="Y11" s="41">
        <f t="shared" si="11"/>
        <v>3</v>
      </c>
      <c r="Z11" s="15">
        <v>894.13900000000001</v>
      </c>
      <c r="AA11" s="39">
        <v>532.31899999999996</v>
      </c>
      <c r="AB11" s="40">
        <f t="shared" si="12"/>
        <v>0.27678974869344614</v>
      </c>
      <c r="AC11" s="41">
        <f t="shared" si="13"/>
        <v>4</v>
      </c>
      <c r="AD11" s="82">
        <f t="shared" si="14"/>
        <v>3.2857142857142856</v>
      </c>
      <c r="AE11" s="60">
        <f t="shared" si="15"/>
        <v>3</v>
      </c>
      <c r="AF11" s="58">
        <v>4</v>
      </c>
      <c r="AG11" s="59">
        <f t="shared" si="16"/>
        <v>12</v>
      </c>
      <c r="AH11" s="60">
        <f t="shared" si="17"/>
        <v>4</v>
      </c>
      <c r="AI11" s="65">
        <v>4</v>
      </c>
      <c r="AJ11" s="23">
        <v>3</v>
      </c>
      <c r="AK11" s="23">
        <v>7</v>
      </c>
      <c r="AL11" s="23">
        <f t="shared" si="18"/>
        <v>21</v>
      </c>
      <c r="AM11" s="95">
        <f t="shared" si="19"/>
        <v>4</v>
      </c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2"/>
      <c r="AY11" s="2"/>
      <c r="AZ11" s="2"/>
    </row>
    <row r="12" spans="1:52" ht="15" x14ac:dyDescent="0.2">
      <c r="A12" s="18">
        <v>11</v>
      </c>
      <c r="B12" s="47" t="s">
        <v>49</v>
      </c>
      <c r="C12" s="15">
        <v>15990.05</v>
      </c>
      <c r="D12" s="39">
        <v>4939.9030000000002</v>
      </c>
      <c r="E12" s="39">
        <v>4867.3379999999997</v>
      </c>
      <c r="F12" s="39">
        <v>8.5060000000000002</v>
      </c>
      <c r="G12" s="39">
        <v>70</v>
      </c>
      <c r="H12" s="40">
        <f t="shared" si="0"/>
        <v>0.3043979224580286</v>
      </c>
      <c r="I12" s="41">
        <f t="shared" si="1"/>
        <v>4</v>
      </c>
      <c r="J12" s="84">
        <v>1854.19</v>
      </c>
      <c r="K12" s="40">
        <f t="shared" si="2"/>
        <v>0.380945395614605</v>
      </c>
      <c r="L12" s="41">
        <f t="shared" si="3"/>
        <v>4</v>
      </c>
      <c r="M12" s="81">
        <v>1603.7940000000001</v>
      </c>
      <c r="N12" s="40">
        <f t="shared" si="4"/>
        <v>0.32950125920985973</v>
      </c>
      <c r="O12" s="53">
        <f t="shared" si="5"/>
        <v>3</v>
      </c>
      <c r="P12" s="81">
        <f>1419.277+M12</f>
        <v>3023.0709999999999</v>
      </c>
      <c r="Q12" s="74">
        <f t="shared" si="20"/>
        <v>0.62109329576043415</v>
      </c>
      <c r="R12" s="41">
        <f t="shared" si="6"/>
        <v>4</v>
      </c>
      <c r="S12" s="84">
        <f>1905.571+M12</f>
        <v>3509.3649999999998</v>
      </c>
      <c r="T12" s="40">
        <f t="shared" si="7"/>
        <v>0.72100293836179041</v>
      </c>
      <c r="U12" s="42">
        <f t="shared" si="8"/>
        <v>8</v>
      </c>
      <c r="V12" s="41">
        <f t="shared" si="9"/>
        <v>4</v>
      </c>
      <c r="W12" s="81">
        <f>1098.901+M12</f>
        <v>2702.6950000000002</v>
      </c>
      <c r="X12" s="40">
        <f t="shared" si="10"/>
        <v>0.55527169060377568</v>
      </c>
      <c r="Y12" s="41">
        <f t="shared" si="11"/>
        <v>3</v>
      </c>
      <c r="Z12" s="15">
        <v>3590.5189999999998</v>
      </c>
      <c r="AA12" s="39">
        <v>1199.6489999999999</v>
      </c>
      <c r="AB12" s="40">
        <f t="shared" si="12"/>
        <v>0.24646921993089446</v>
      </c>
      <c r="AC12" s="41">
        <f t="shared" si="13"/>
        <v>3</v>
      </c>
      <c r="AD12" s="82">
        <f t="shared" si="14"/>
        <v>4.1428571428571432</v>
      </c>
      <c r="AE12" s="60">
        <f t="shared" si="15"/>
        <v>4</v>
      </c>
      <c r="AF12" s="58">
        <v>4</v>
      </c>
      <c r="AG12" s="59">
        <f t="shared" si="16"/>
        <v>16</v>
      </c>
      <c r="AH12" s="60">
        <f t="shared" si="17"/>
        <v>4</v>
      </c>
      <c r="AI12" s="65">
        <v>4</v>
      </c>
      <c r="AJ12" s="23">
        <v>3</v>
      </c>
      <c r="AK12" s="23">
        <v>7</v>
      </c>
      <c r="AL12" s="23">
        <f t="shared" si="18"/>
        <v>21</v>
      </c>
      <c r="AM12" s="95">
        <f t="shared" si="19"/>
        <v>4</v>
      </c>
    </row>
    <row r="13" spans="1:52" ht="15" x14ac:dyDescent="0.2">
      <c r="A13" s="18">
        <v>12</v>
      </c>
      <c r="B13" s="47" t="s">
        <v>50</v>
      </c>
      <c r="C13" s="15">
        <v>14508.82</v>
      </c>
      <c r="D13" s="39">
        <v>2204.8339999999998</v>
      </c>
      <c r="E13" s="39">
        <v>2136.7280000000001</v>
      </c>
      <c r="F13" s="39">
        <v>2.9550000000000001</v>
      </c>
      <c r="G13" s="39">
        <v>73</v>
      </c>
      <c r="H13" s="40">
        <f t="shared" si="0"/>
        <v>0.14727097034769196</v>
      </c>
      <c r="I13" s="41">
        <f t="shared" si="1"/>
        <v>2</v>
      </c>
      <c r="J13" s="84">
        <v>1229.4069999999999</v>
      </c>
      <c r="K13" s="40">
        <f t="shared" si="2"/>
        <v>0.57536897536794573</v>
      </c>
      <c r="L13" s="41">
        <f t="shared" si="3"/>
        <v>4</v>
      </c>
      <c r="M13" s="81">
        <v>262.37700000000001</v>
      </c>
      <c r="N13" s="40">
        <f t="shared" si="4"/>
        <v>0.1227938230790255</v>
      </c>
      <c r="O13" s="53">
        <f t="shared" si="5"/>
        <v>2</v>
      </c>
      <c r="P13" s="81">
        <f>385.444+M13</f>
        <v>647.82100000000003</v>
      </c>
      <c r="Q13" s="74">
        <f t="shared" si="20"/>
        <v>0.30318365276254161</v>
      </c>
      <c r="R13" s="41">
        <f t="shared" si="6"/>
        <v>3</v>
      </c>
      <c r="S13" s="84">
        <f>1208.317+M13</f>
        <v>1470.694</v>
      </c>
      <c r="T13" s="40">
        <f t="shared" si="7"/>
        <v>0.68829256695283625</v>
      </c>
      <c r="U13" s="42">
        <f t="shared" si="8"/>
        <v>8</v>
      </c>
      <c r="V13" s="41">
        <f t="shared" si="9"/>
        <v>4</v>
      </c>
      <c r="W13" s="81">
        <f>337.539+M13</f>
        <v>599.91599999999994</v>
      </c>
      <c r="X13" s="40">
        <f t="shared" si="10"/>
        <v>0.28076385950855698</v>
      </c>
      <c r="Y13" s="41">
        <f t="shared" si="11"/>
        <v>2</v>
      </c>
      <c r="Z13" s="15">
        <v>1095.9649999999999</v>
      </c>
      <c r="AA13" s="39">
        <v>477.05500000000001</v>
      </c>
      <c r="AB13" s="40">
        <f t="shared" si="12"/>
        <v>0.22326426199310348</v>
      </c>
      <c r="AC13" s="41">
        <f t="shared" si="13"/>
        <v>3</v>
      </c>
      <c r="AD13" s="82">
        <f t="shared" si="14"/>
        <v>3.4285714285714284</v>
      </c>
      <c r="AE13" s="60">
        <f t="shared" si="15"/>
        <v>3</v>
      </c>
      <c r="AF13" s="58">
        <v>4</v>
      </c>
      <c r="AG13" s="59">
        <f t="shared" si="16"/>
        <v>12</v>
      </c>
      <c r="AH13" s="60">
        <f t="shared" si="17"/>
        <v>4</v>
      </c>
      <c r="AI13" s="65">
        <v>4</v>
      </c>
      <c r="AJ13" s="23">
        <v>3</v>
      </c>
      <c r="AK13" s="23">
        <v>7</v>
      </c>
      <c r="AL13" s="23">
        <f t="shared" si="18"/>
        <v>21</v>
      </c>
      <c r="AM13" s="95">
        <f t="shared" si="19"/>
        <v>4</v>
      </c>
    </row>
    <row r="14" spans="1:52" ht="15" x14ac:dyDescent="0.2">
      <c r="A14" s="18">
        <v>13</v>
      </c>
      <c r="B14" s="47" t="s">
        <v>51</v>
      </c>
      <c r="C14" s="15">
        <v>4316.6400000000003</v>
      </c>
      <c r="D14" s="39">
        <f>2488.881+507.235</f>
        <v>2996.116</v>
      </c>
      <c r="E14" s="39">
        <f>2455.663+276.902</f>
        <v>2732.5650000000001</v>
      </c>
      <c r="F14" s="39">
        <v>0</v>
      </c>
      <c r="G14" s="39">
        <v>80</v>
      </c>
      <c r="H14" s="40">
        <f t="shared" si="0"/>
        <v>0.63303055154008669</v>
      </c>
      <c r="I14" s="41">
        <f t="shared" si="1"/>
        <v>4</v>
      </c>
      <c r="J14" s="84">
        <v>32.634</v>
      </c>
      <c r="K14" s="40">
        <f t="shared" si="2"/>
        <v>1.1942625335536392E-2</v>
      </c>
      <c r="L14" s="41">
        <f t="shared" si="3"/>
        <v>1</v>
      </c>
      <c r="M14" s="81">
        <f>1780.153+261.677</f>
        <v>2041.83</v>
      </c>
      <c r="N14" s="40">
        <f t="shared" si="4"/>
        <v>0.74722101761531745</v>
      </c>
      <c r="O14" s="53">
        <f t="shared" si="5"/>
        <v>4</v>
      </c>
      <c r="P14" s="81">
        <f>551.75+M14+13.06+0.003+2.162</f>
        <v>2608.8049999999998</v>
      </c>
      <c r="Q14" s="74">
        <f>P14/D14</f>
        <v>0.87072897044039677</v>
      </c>
      <c r="R14" s="41">
        <f t="shared" si="6"/>
        <v>4</v>
      </c>
      <c r="S14" s="84">
        <f>34.01+M14</f>
        <v>2075.84</v>
      </c>
      <c r="T14" s="40">
        <f t="shared" si="7"/>
        <v>0.75966719913341496</v>
      </c>
      <c r="U14" s="42">
        <f t="shared" si="8"/>
        <v>8</v>
      </c>
      <c r="V14" s="41">
        <f t="shared" si="9"/>
        <v>4</v>
      </c>
      <c r="W14" s="81">
        <f>421.864+M14+13.06</f>
        <v>2476.7539999999999</v>
      </c>
      <c r="X14" s="40">
        <f t="shared" si="10"/>
        <v>0.90638429460964332</v>
      </c>
      <c r="Y14" s="41">
        <f t="shared" si="11"/>
        <v>4</v>
      </c>
      <c r="Z14" s="15">
        <v>2341.2510000000002</v>
      </c>
      <c r="AA14" s="39">
        <v>825.94899999999996</v>
      </c>
      <c r="AB14" s="40">
        <f t="shared" si="12"/>
        <v>0.30226142836492453</v>
      </c>
      <c r="AC14" s="41">
        <f t="shared" si="13"/>
        <v>4</v>
      </c>
      <c r="AD14" s="82">
        <f t="shared" si="14"/>
        <v>4.1428571428571432</v>
      </c>
      <c r="AE14" s="60">
        <f t="shared" si="15"/>
        <v>4</v>
      </c>
      <c r="AF14" s="58">
        <v>3</v>
      </c>
      <c r="AG14" s="59">
        <f t="shared" si="16"/>
        <v>12</v>
      </c>
      <c r="AH14" s="60">
        <f t="shared" si="17"/>
        <v>4</v>
      </c>
      <c r="AI14" s="65">
        <v>4</v>
      </c>
      <c r="AJ14" s="23">
        <v>3</v>
      </c>
      <c r="AK14" s="23">
        <v>6</v>
      </c>
      <c r="AL14" s="23">
        <f t="shared" si="18"/>
        <v>18</v>
      </c>
      <c r="AM14" s="95">
        <f t="shared" si="19"/>
        <v>4</v>
      </c>
    </row>
    <row r="15" spans="1:52" ht="15" x14ac:dyDescent="0.2">
      <c r="A15" s="18">
        <v>14</v>
      </c>
      <c r="B15" s="47" t="s">
        <v>52</v>
      </c>
      <c r="C15" s="15">
        <v>9427.44</v>
      </c>
      <c r="D15" s="39">
        <v>2722.3919999999998</v>
      </c>
      <c r="E15" s="39">
        <v>2667.7190000000001</v>
      </c>
      <c r="F15" s="39">
        <v>15.359</v>
      </c>
      <c r="G15" s="39">
        <v>67</v>
      </c>
      <c r="H15" s="40">
        <f t="shared" si="0"/>
        <v>0.28297385080149012</v>
      </c>
      <c r="I15" s="41">
        <f t="shared" si="1"/>
        <v>3</v>
      </c>
      <c r="J15" s="84">
        <v>641.01900000000001</v>
      </c>
      <c r="K15" s="40">
        <f t="shared" si="2"/>
        <v>0.24028730162359679</v>
      </c>
      <c r="L15" s="41">
        <f t="shared" si="3"/>
        <v>3</v>
      </c>
      <c r="M15" s="81">
        <v>1279.624</v>
      </c>
      <c r="N15" s="40">
        <f t="shared" si="4"/>
        <v>0.47966971034055683</v>
      </c>
      <c r="O15" s="53">
        <f t="shared" si="5"/>
        <v>4</v>
      </c>
      <c r="P15" s="81">
        <f>898.871+M15</f>
        <v>2178.4949999999999</v>
      </c>
      <c r="Q15" s="74">
        <f>P15/E15</f>
        <v>0.81661336894927838</v>
      </c>
      <c r="R15" s="41">
        <f t="shared" si="6"/>
        <v>4</v>
      </c>
      <c r="S15" s="84">
        <f>505.494+M15</f>
        <v>1785.1179999999999</v>
      </c>
      <c r="T15" s="40">
        <f t="shared" si="7"/>
        <v>0.66915518463526324</v>
      </c>
      <c r="U15" s="42">
        <f t="shared" si="8"/>
        <v>8</v>
      </c>
      <c r="V15" s="41">
        <f t="shared" si="9"/>
        <v>4</v>
      </c>
      <c r="W15" s="81">
        <f>523.194+M15</f>
        <v>1802.818</v>
      </c>
      <c r="X15" s="40">
        <f t="shared" si="10"/>
        <v>0.67579006634506855</v>
      </c>
      <c r="Y15" s="41">
        <f t="shared" si="11"/>
        <v>3</v>
      </c>
      <c r="Z15" s="15">
        <v>1460.7170000000001</v>
      </c>
      <c r="AA15" s="39">
        <v>500.77499999999998</v>
      </c>
      <c r="AB15" s="40">
        <f t="shared" si="12"/>
        <v>0.18771654735749904</v>
      </c>
      <c r="AC15" s="41">
        <f t="shared" si="13"/>
        <v>3</v>
      </c>
      <c r="AD15" s="82">
        <f t="shared" si="14"/>
        <v>4</v>
      </c>
      <c r="AE15" s="60">
        <f t="shared" si="15"/>
        <v>4</v>
      </c>
      <c r="AF15" s="58">
        <v>3</v>
      </c>
      <c r="AG15" s="59">
        <f t="shared" si="16"/>
        <v>12</v>
      </c>
      <c r="AH15" s="60">
        <f t="shared" si="17"/>
        <v>4</v>
      </c>
      <c r="AI15" s="65">
        <v>4</v>
      </c>
      <c r="AJ15" s="23">
        <v>3</v>
      </c>
      <c r="AK15" s="23">
        <v>6</v>
      </c>
      <c r="AL15" s="23">
        <f t="shared" si="18"/>
        <v>18</v>
      </c>
      <c r="AM15" s="95">
        <f t="shared" si="19"/>
        <v>4</v>
      </c>
    </row>
    <row r="16" spans="1:52" ht="15" x14ac:dyDescent="0.2">
      <c r="A16" s="18">
        <v>15</v>
      </c>
      <c r="B16" s="47" t="s">
        <v>53</v>
      </c>
      <c r="C16" s="15">
        <v>4712.68</v>
      </c>
      <c r="D16" s="39">
        <v>997.83699999999999</v>
      </c>
      <c r="E16" s="39">
        <v>937.44</v>
      </c>
      <c r="F16" s="39">
        <v>5.3680000000000003</v>
      </c>
      <c r="G16" s="39">
        <v>73</v>
      </c>
      <c r="H16" s="40">
        <f t="shared" si="0"/>
        <v>0.19891866199275146</v>
      </c>
      <c r="I16" s="41">
        <f t="shared" si="1"/>
        <v>2</v>
      </c>
      <c r="J16" s="84">
        <v>311.97500000000002</v>
      </c>
      <c r="K16" s="40">
        <f t="shared" si="2"/>
        <v>0.33279463218979349</v>
      </c>
      <c r="L16" s="41">
        <f t="shared" si="3"/>
        <v>4</v>
      </c>
      <c r="M16" s="81">
        <v>253.91300000000001</v>
      </c>
      <c r="N16" s="40">
        <f t="shared" si="4"/>
        <v>0.2708578682369005</v>
      </c>
      <c r="O16" s="53">
        <f t="shared" si="5"/>
        <v>3</v>
      </c>
      <c r="P16" s="81">
        <f>246.989+M16</f>
        <v>500.90200000000004</v>
      </c>
      <c r="Q16" s="74">
        <f>P16/D16</f>
        <v>0.50198779961055773</v>
      </c>
      <c r="R16" s="41">
        <f t="shared" si="6"/>
        <v>4</v>
      </c>
      <c r="S16" s="84">
        <f>323.525+M16</f>
        <v>577.43799999999999</v>
      </c>
      <c r="T16" s="40">
        <f t="shared" si="7"/>
        <v>0.61597328895715986</v>
      </c>
      <c r="U16" s="42">
        <f t="shared" si="8"/>
        <v>8</v>
      </c>
      <c r="V16" s="41">
        <f t="shared" si="9"/>
        <v>4</v>
      </c>
      <c r="W16" s="81">
        <f>194.904+M16</f>
        <v>448.81700000000001</v>
      </c>
      <c r="X16" s="40">
        <f t="shared" si="10"/>
        <v>0.47876877453490357</v>
      </c>
      <c r="Y16" s="41">
        <f t="shared" si="11"/>
        <v>3</v>
      </c>
      <c r="Z16" s="15">
        <v>491.40499999999997</v>
      </c>
      <c r="AA16" s="39">
        <v>53.585000000000001</v>
      </c>
      <c r="AB16" s="40">
        <f t="shared" si="12"/>
        <v>5.7160991636798088E-2</v>
      </c>
      <c r="AC16" s="41">
        <f t="shared" si="13"/>
        <v>2</v>
      </c>
      <c r="AD16" s="82">
        <f t="shared" si="14"/>
        <v>3.7142857142857144</v>
      </c>
      <c r="AE16" s="60">
        <f t="shared" si="15"/>
        <v>3</v>
      </c>
      <c r="AF16" s="58">
        <v>3</v>
      </c>
      <c r="AG16" s="59">
        <f t="shared" si="16"/>
        <v>9</v>
      </c>
      <c r="AH16" s="60">
        <f t="shared" si="17"/>
        <v>3</v>
      </c>
      <c r="AI16" s="64">
        <v>3</v>
      </c>
      <c r="AJ16" s="23">
        <v>3</v>
      </c>
      <c r="AK16" s="23">
        <v>7</v>
      </c>
      <c r="AL16" s="23">
        <f t="shared" si="18"/>
        <v>21</v>
      </c>
      <c r="AM16" s="95">
        <f t="shared" si="19"/>
        <v>4</v>
      </c>
    </row>
    <row r="17" spans="1:52" ht="15" x14ac:dyDescent="0.2">
      <c r="A17" s="18">
        <v>16</v>
      </c>
      <c r="B17" s="47" t="s">
        <v>54</v>
      </c>
      <c r="C17" s="15">
        <v>18653.759999999998</v>
      </c>
      <c r="D17" s="39">
        <v>10650.651</v>
      </c>
      <c r="E17" s="39">
        <v>10344.918</v>
      </c>
      <c r="F17" s="39">
        <v>0</v>
      </c>
      <c r="G17" s="39">
        <v>56</v>
      </c>
      <c r="H17" s="40">
        <f t="shared" si="0"/>
        <v>0.55457548504966292</v>
      </c>
      <c r="I17" s="41">
        <f t="shared" si="1"/>
        <v>4</v>
      </c>
      <c r="J17" s="84">
        <v>201.32300000000001</v>
      </c>
      <c r="K17" s="40">
        <f t="shared" si="2"/>
        <v>1.9461053243727985E-2</v>
      </c>
      <c r="L17" s="41">
        <f t="shared" si="3"/>
        <v>1</v>
      </c>
      <c r="M17" s="81">
        <v>8396.1200000000008</v>
      </c>
      <c r="N17" s="40">
        <f t="shared" si="4"/>
        <v>0.81161783979341362</v>
      </c>
      <c r="O17" s="53">
        <f t="shared" si="5"/>
        <v>4</v>
      </c>
      <c r="P17" s="81">
        <f>1384.065+M17</f>
        <v>9780.1850000000013</v>
      </c>
      <c r="Q17" s="74">
        <f t="shared" ref="Q17:Q24" si="21">P17/E17</f>
        <v>0.94540962045325072</v>
      </c>
      <c r="R17" s="41">
        <f t="shared" si="6"/>
        <v>4</v>
      </c>
      <c r="S17" s="84">
        <f>226.702+M17</f>
        <v>8622.8220000000001</v>
      </c>
      <c r="T17" s="40">
        <f t="shared" si="7"/>
        <v>0.83353217492879117</v>
      </c>
      <c r="U17" s="42">
        <f t="shared" si="8"/>
        <v>8</v>
      </c>
      <c r="V17" s="41">
        <f t="shared" si="9"/>
        <v>4</v>
      </c>
      <c r="W17" s="81">
        <f>349.545+M17</f>
        <v>8745.6650000000009</v>
      </c>
      <c r="X17" s="40">
        <f t="shared" si="10"/>
        <v>0.84540689447707573</v>
      </c>
      <c r="Y17" s="41">
        <f t="shared" si="11"/>
        <v>4</v>
      </c>
      <c r="Z17" s="15">
        <v>9652.125</v>
      </c>
      <c r="AA17" s="39">
        <v>1955.4159999999999</v>
      </c>
      <c r="AB17" s="40">
        <f t="shared" si="12"/>
        <v>0.18902189461530772</v>
      </c>
      <c r="AC17" s="41">
        <f t="shared" si="13"/>
        <v>3</v>
      </c>
      <c r="AD17" s="82">
        <f t="shared" si="14"/>
        <v>4</v>
      </c>
      <c r="AE17" s="60">
        <f t="shared" si="15"/>
        <v>4</v>
      </c>
      <c r="AF17" s="58">
        <v>2</v>
      </c>
      <c r="AG17" s="59">
        <f t="shared" si="16"/>
        <v>8</v>
      </c>
      <c r="AH17" s="60">
        <f t="shared" si="17"/>
        <v>3</v>
      </c>
      <c r="AI17" s="64">
        <v>3</v>
      </c>
      <c r="AJ17" s="23">
        <v>3</v>
      </c>
      <c r="AK17" s="23">
        <v>5</v>
      </c>
      <c r="AL17" s="23">
        <f t="shared" si="18"/>
        <v>15</v>
      </c>
      <c r="AM17" s="94">
        <f t="shared" si="19"/>
        <v>3</v>
      </c>
    </row>
    <row r="18" spans="1:52" ht="15" x14ac:dyDescent="0.2">
      <c r="A18" s="18">
        <v>17</v>
      </c>
      <c r="B18" s="47" t="s">
        <v>55</v>
      </c>
      <c r="C18" s="15">
        <v>10455.64</v>
      </c>
      <c r="D18" s="39">
        <v>2571.8090000000002</v>
      </c>
      <c r="E18" s="39">
        <v>2501.6559999999999</v>
      </c>
      <c r="F18" s="39">
        <v>5.4290000000000003</v>
      </c>
      <c r="G18" s="39">
        <v>71</v>
      </c>
      <c r="H18" s="40">
        <f t="shared" si="0"/>
        <v>0.23926378490460651</v>
      </c>
      <c r="I18" s="41">
        <f t="shared" si="1"/>
        <v>3</v>
      </c>
      <c r="J18" s="84">
        <v>444.25</v>
      </c>
      <c r="K18" s="40">
        <f t="shared" si="2"/>
        <v>0.17758236943848396</v>
      </c>
      <c r="L18" s="41">
        <f t="shared" si="3"/>
        <v>3</v>
      </c>
      <c r="M18" s="81">
        <v>1181.454</v>
      </c>
      <c r="N18" s="40">
        <f t="shared" si="4"/>
        <v>0.47226876916730359</v>
      </c>
      <c r="O18" s="53">
        <f t="shared" si="5"/>
        <v>4</v>
      </c>
      <c r="P18" s="81">
        <f>608.48+M18</f>
        <v>1789.934</v>
      </c>
      <c r="Q18" s="74">
        <f t="shared" si="21"/>
        <v>0.71549965302983309</v>
      </c>
      <c r="R18" s="41">
        <f t="shared" si="6"/>
        <v>4</v>
      </c>
      <c r="S18" s="84">
        <f>M18+438.151</f>
        <v>1619.605</v>
      </c>
      <c r="T18" s="40">
        <f t="shared" si="7"/>
        <v>0.64741315352710371</v>
      </c>
      <c r="U18" s="42">
        <f t="shared" si="8"/>
        <v>8</v>
      </c>
      <c r="V18" s="41">
        <f t="shared" si="9"/>
        <v>4</v>
      </c>
      <c r="W18" s="81">
        <f>M18+527.451</f>
        <v>1708.905</v>
      </c>
      <c r="X18" s="40">
        <f t="shared" si="10"/>
        <v>0.68310950826172745</v>
      </c>
      <c r="Y18" s="41">
        <f t="shared" si="11"/>
        <v>3</v>
      </c>
      <c r="Z18" s="15">
        <v>1725.251</v>
      </c>
      <c r="AA18" s="39">
        <v>27.994</v>
      </c>
      <c r="AB18" s="40">
        <f t="shared" si="12"/>
        <v>1.1190187619720697E-2</v>
      </c>
      <c r="AC18" s="41">
        <f t="shared" si="13"/>
        <v>1</v>
      </c>
      <c r="AD18" s="82">
        <f t="shared" si="14"/>
        <v>3.7142857142857144</v>
      </c>
      <c r="AE18" s="60">
        <f t="shared" si="15"/>
        <v>3</v>
      </c>
      <c r="AF18" s="58">
        <v>3</v>
      </c>
      <c r="AG18" s="59">
        <f t="shared" si="16"/>
        <v>9</v>
      </c>
      <c r="AH18" s="60">
        <f t="shared" si="17"/>
        <v>3</v>
      </c>
      <c r="AI18" s="64">
        <v>3</v>
      </c>
      <c r="AJ18" s="23">
        <v>3</v>
      </c>
      <c r="AK18" s="23">
        <v>6</v>
      </c>
      <c r="AL18" s="23">
        <f t="shared" si="18"/>
        <v>18</v>
      </c>
      <c r="AM18" s="95">
        <f t="shared" si="19"/>
        <v>4</v>
      </c>
    </row>
    <row r="19" spans="1:52" ht="15" x14ac:dyDescent="0.2">
      <c r="A19" s="18">
        <v>18</v>
      </c>
      <c r="B19" s="47" t="s">
        <v>56</v>
      </c>
      <c r="C19" s="15">
        <v>6666.25</v>
      </c>
      <c r="D19" s="39">
        <v>1637.2809999999999</v>
      </c>
      <c r="E19" s="39">
        <v>1613.3489999999999</v>
      </c>
      <c r="F19" s="39">
        <v>0</v>
      </c>
      <c r="G19" s="39">
        <v>67</v>
      </c>
      <c r="H19" s="40">
        <f t="shared" si="0"/>
        <v>0.24201747609225577</v>
      </c>
      <c r="I19" s="41">
        <f t="shared" si="1"/>
        <v>3</v>
      </c>
      <c r="J19" s="84">
        <v>214.142</v>
      </c>
      <c r="K19" s="40">
        <f t="shared" si="2"/>
        <v>0.13273135570790945</v>
      </c>
      <c r="L19" s="41">
        <f t="shared" si="3"/>
        <v>2</v>
      </c>
      <c r="M19" s="81">
        <v>709.11699999999996</v>
      </c>
      <c r="N19" s="40">
        <f t="shared" si="4"/>
        <v>0.43953106240497253</v>
      </c>
      <c r="O19" s="53">
        <f t="shared" si="5"/>
        <v>4</v>
      </c>
      <c r="P19" s="81">
        <f>M19+509.911</f>
        <v>1219.028</v>
      </c>
      <c r="Q19" s="74">
        <f t="shared" si="21"/>
        <v>0.75558853044195651</v>
      </c>
      <c r="R19" s="41">
        <f t="shared" si="6"/>
        <v>4</v>
      </c>
      <c r="S19" s="84">
        <f>M19+248.535</f>
        <v>957.65199999999993</v>
      </c>
      <c r="T19" s="40">
        <f t="shared" si="7"/>
        <v>0.59358018630810816</v>
      </c>
      <c r="U19" s="42">
        <f t="shared" si="8"/>
        <v>6</v>
      </c>
      <c r="V19" s="41">
        <f t="shared" si="9"/>
        <v>3</v>
      </c>
      <c r="W19" s="81">
        <f>382.857+M19</f>
        <v>1091.9739999999999</v>
      </c>
      <c r="X19" s="40">
        <f t="shared" si="10"/>
        <v>0.67683681584083788</v>
      </c>
      <c r="Y19" s="41">
        <f t="shared" si="11"/>
        <v>3</v>
      </c>
      <c r="Z19" s="15">
        <v>1032.5530000000001</v>
      </c>
      <c r="AA19" s="39">
        <v>125.41800000000001</v>
      </c>
      <c r="AB19" s="40">
        <f t="shared" si="12"/>
        <v>7.7737674861421802E-2</v>
      </c>
      <c r="AC19" s="41">
        <f t="shared" si="13"/>
        <v>2</v>
      </c>
      <c r="AD19" s="82">
        <f t="shared" si="14"/>
        <v>3.4285714285714284</v>
      </c>
      <c r="AE19" s="60">
        <f t="shared" si="15"/>
        <v>3</v>
      </c>
      <c r="AF19" s="58">
        <v>3</v>
      </c>
      <c r="AG19" s="59">
        <f t="shared" si="16"/>
        <v>9</v>
      </c>
      <c r="AH19" s="60">
        <f t="shared" si="17"/>
        <v>3</v>
      </c>
      <c r="AI19" s="64">
        <v>3</v>
      </c>
      <c r="AJ19" s="23">
        <v>3</v>
      </c>
      <c r="AK19" s="23">
        <v>6</v>
      </c>
      <c r="AL19" s="23">
        <f t="shared" si="18"/>
        <v>18</v>
      </c>
      <c r="AM19" s="95">
        <f t="shared" si="19"/>
        <v>4</v>
      </c>
    </row>
    <row r="20" spans="1:52" ht="15" x14ac:dyDescent="0.2">
      <c r="A20" s="18">
        <v>19</v>
      </c>
      <c r="B20" s="47" t="s">
        <v>57</v>
      </c>
      <c r="C20" s="15">
        <v>12234.14</v>
      </c>
      <c r="D20" s="39">
        <v>1151.0070000000001</v>
      </c>
      <c r="E20" s="39">
        <v>1054.9580000000001</v>
      </c>
      <c r="F20" s="39">
        <v>21.718</v>
      </c>
      <c r="G20" s="50">
        <v>70</v>
      </c>
      <c r="H20" s="40">
        <f t="shared" si="0"/>
        <v>8.6230662719243054E-2</v>
      </c>
      <c r="I20" s="41">
        <f t="shared" si="1"/>
        <v>1</v>
      </c>
      <c r="J20" s="84">
        <v>461.91899999999998</v>
      </c>
      <c r="K20" s="40">
        <f t="shared" si="2"/>
        <v>0.43785534590002628</v>
      </c>
      <c r="L20" s="41">
        <f t="shared" si="3"/>
        <v>4</v>
      </c>
      <c r="M20" s="81">
        <v>18.145</v>
      </c>
      <c r="N20" s="40">
        <f t="shared" si="4"/>
        <v>1.7199736861562259E-2</v>
      </c>
      <c r="O20" s="53">
        <f t="shared" si="5"/>
        <v>1</v>
      </c>
      <c r="P20" s="81">
        <f>233.594+M20</f>
        <v>251.739</v>
      </c>
      <c r="Q20" s="74">
        <f t="shared" si="21"/>
        <v>0.23862466562649887</v>
      </c>
      <c r="R20" s="41">
        <f t="shared" si="6"/>
        <v>2</v>
      </c>
      <c r="S20" s="84">
        <f>M20+540.503</f>
        <v>558.64800000000002</v>
      </c>
      <c r="T20" s="40">
        <f t="shared" si="7"/>
        <v>0.5295452520384698</v>
      </c>
      <c r="U20" s="42">
        <f t="shared" si="8"/>
        <v>6</v>
      </c>
      <c r="V20" s="41">
        <f t="shared" si="9"/>
        <v>3</v>
      </c>
      <c r="W20" s="81">
        <f>305.775+M20</f>
        <v>323.91999999999996</v>
      </c>
      <c r="X20" s="40">
        <f t="shared" si="10"/>
        <v>0.30704539896375016</v>
      </c>
      <c r="Y20" s="41">
        <f t="shared" si="11"/>
        <v>2</v>
      </c>
      <c r="Z20" s="15">
        <v>490.83600000000001</v>
      </c>
      <c r="AA20" s="39">
        <v>175.952</v>
      </c>
      <c r="AB20" s="40">
        <f t="shared" si="12"/>
        <v>0.16678578673274194</v>
      </c>
      <c r="AC20" s="41">
        <f t="shared" si="13"/>
        <v>3</v>
      </c>
      <c r="AD20" s="82">
        <f t="shared" si="14"/>
        <v>2.7142857142857144</v>
      </c>
      <c r="AE20" s="60">
        <f t="shared" si="15"/>
        <v>3</v>
      </c>
      <c r="AF20" s="58">
        <v>4</v>
      </c>
      <c r="AG20" s="59">
        <f t="shared" si="16"/>
        <v>12</v>
      </c>
      <c r="AH20" s="60">
        <f t="shared" si="17"/>
        <v>4</v>
      </c>
      <c r="AI20" s="65">
        <v>4</v>
      </c>
      <c r="AJ20" s="23">
        <v>3</v>
      </c>
      <c r="AK20" s="23">
        <v>7</v>
      </c>
      <c r="AL20" s="23">
        <f t="shared" si="18"/>
        <v>21</v>
      </c>
      <c r="AM20" s="95">
        <f t="shared" si="19"/>
        <v>4</v>
      </c>
    </row>
    <row r="21" spans="1:52" ht="15" x14ac:dyDescent="0.2">
      <c r="A21" s="18">
        <v>20</v>
      </c>
      <c r="B21" s="47" t="s">
        <v>58</v>
      </c>
      <c r="C21" s="15">
        <v>5787.57</v>
      </c>
      <c r="D21" s="39">
        <v>2341.5990000000002</v>
      </c>
      <c r="E21" s="39">
        <v>2308.527</v>
      </c>
      <c r="F21" s="39">
        <v>12.855</v>
      </c>
      <c r="G21" s="39">
        <v>72</v>
      </c>
      <c r="H21" s="40">
        <f t="shared" si="0"/>
        <v>0.39887673064861423</v>
      </c>
      <c r="I21" s="41">
        <f t="shared" si="1"/>
        <v>4</v>
      </c>
      <c r="J21" s="84">
        <v>257.68400000000003</v>
      </c>
      <c r="K21" s="40">
        <f t="shared" si="2"/>
        <v>0.11162269273870308</v>
      </c>
      <c r="L21" s="41">
        <f t="shared" si="3"/>
        <v>2</v>
      </c>
      <c r="M21" s="81">
        <v>1525.846</v>
      </c>
      <c r="N21" s="40">
        <f t="shared" si="4"/>
        <v>0.66096086378890084</v>
      </c>
      <c r="O21" s="53">
        <f t="shared" si="5"/>
        <v>4</v>
      </c>
      <c r="P21" s="81">
        <f>552.653+M21</f>
        <v>2078.4989999999998</v>
      </c>
      <c r="Q21" s="74">
        <f t="shared" si="21"/>
        <v>0.90035724078600765</v>
      </c>
      <c r="R21" s="41">
        <f t="shared" si="6"/>
        <v>4</v>
      </c>
      <c r="S21" s="84">
        <f>235.605+M21</f>
        <v>1761.451</v>
      </c>
      <c r="T21" s="40">
        <f t="shared" si="7"/>
        <v>0.76301944919855824</v>
      </c>
      <c r="U21" s="42">
        <f t="shared" si="8"/>
        <v>8</v>
      </c>
      <c r="V21" s="41">
        <f t="shared" si="9"/>
        <v>4</v>
      </c>
      <c r="W21" s="81">
        <f>378.926+M21</f>
        <v>1904.7719999999999</v>
      </c>
      <c r="X21" s="40">
        <f t="shared" si="10"/>
        <v>0.82510276033158803</v>
      </c>
      <c r="Y21" s="41">
        <f t="shared" si="11"/>
        <v>4</v>
      </c>
      <c r="Z21" s="15">
        <v>1890.0609999999999</v>
      </c>
      <c r="AA21" s="39">
        <v>507.31599999999997</v>
      </c>
      <c r="AB21" s="40">
        <f t="shared" si="12"/>
        <v>0.21975744706472999</v>
      </c>
      <c r="AC21" s="41">
        <f t="shared" si="13"/>
        <v>3</v>
      </c>
      <c r="AD21" s="82">
        <f t="shared" si="14"/>
        <v>4.1428571428571432</v>
      </c>
      <c r="AE21" s="60">
        <f t="shared" si="15"/>
        <v>4</v>
      </c>
      <c r="AF21" s="58">
        <v>3</v>
      </c>
      <c r="AG21" s="59">
        <f t="shared" si="16"/>
        <v>12</v>
      </c>
      <c r="AH21" s="60">
        <f t="shared" si="17"/>
        <v>4</v>
      </c>
      <c r="AI21" s="65">
        <v>4</v>
      </c>
      <c r="AJ21" s="23">
        <v>3</v>
      </c>
      <c r="AK21" s="23">
        <v>6</v>
      </c>
      <c r="AL21" s="23">
        <f t="shared" si="18"/>
        <v>18</v>
      </c>
      <c r="AM21" s="95">
        <f t="shared" si="19"/>
        <v>4</v>
      </c>
    </row>
    <row r="22" spans="1:52" ht="15" x14ac:dyDescent="0.2">
      <c r="A22" s="18">
        <v>21</v>
      </c>
      <c r="B22" s="47" t="s">
        <v>59</v>
      </c>
      <c r="C22" s="15">
        <v>11054.75</v>
      </c>
      <c r="D22" s="39">
        <v>4153.817</v>
      </c>
      <c r="E22" s="39">
        <v>4060.7379999999998</v>
      </c>
      <c r="F22" s="39">
        <v>0</v>
      </c>
      <c r="G22" s="39">
        <v>72</v>
      </c>
      <c r="H22" s="40">
        <f t="shared" si="0"/>
        <v>0.36732969990275671</v>
      </c>
      <c r="I22" s="41">
        <f t="shared" si="1"/>
        <v>4</v>
      </c>
      <c r="J22" s="84">
        <v>228.774</v>
      </c>
      <c r="K22" s="40">
        <f t="shared" si="2"/>
        <v>5.6338035105933951E-2</v>
      </c>
      <c r="L22" s="41">
        <f t="shared" si="3"/>
        <v>2</v>
      </c>
      <c r="M22" s="81">
        <v>3007.3589999999999</v>
      </c>
      <c r="N22" s="40">
        <f t="shared" si="4"/>
        <v>0.74059419740943644</v>
      </c>
      <c r="O22" s="53">
        <f t="shared" si="5"/>
        <v>4</v>
      </c>
      <c r="P22" s="81">
        <f>709.604+M22</f>
        <v>3716.9629999999997</v>
      </c>
      <c r="Q22" s="74">
        <f t="shared" si="21"/>
        <v>0.91534174329887819</v>
      </c>
      <c r="R22" s="41">
        <f t="shared" si="6"/>
        <v>4</v>
      </c>
      <c r="S22" s="84">
        <f>M22+244.665</f>
        <v>3252.0239999999999</v>
      </c>
      <c r="T22" s="40">
        <f t="shared" si="7"/>
        <v>0.80084556058529266</v>
      </c>
      <c r="U22" s="42">
        <f t="shared" si="8"/>
        <v>8</v>
      </c>
      <c r="V22" s="41">
        <f t="shared" si="9"/>
        <v>4</v>
      </c>
      <c r="W22" s="81">
        <f>M22+214.878</f>
        <v>3222.2370000000001</v>
      </c>
      <c r="X22" s="40">
        <f t="shared" si="10"/>
        <v>0.7935101944523385</v>
      </c>
      <c r="Y22" s="41">
        <f t="shared" si="11"/>
        <v>4</v>
      </c>
      <c r="Z22" s="15">
        <v>3660.2280000000001</v>
      </c>
      <c r="AA22" s="39">
        <v>659.01300000000003</v>
      </c>
      <c r="AB22" s="40">
        <f t="shared" si="12"/>
        <v>0.16228897308814311</v>
      </c>
      <c r="AC22" s="41">
        <f t="shared" si="13"/>
        <v>3</v>
      </c>
      <c r="AD22" s="82">
        <f t="shared" si="14"/>
        <v>4.1428571428571432</v>
      </c>
      <c r="AE22" s="60">
        <f t="shared" si="15"/>
        <v>4</v>
      </c>
      <c r="AF22" s="58">
        <v>2</v>
      </c>
      <c r="AG22" s="59">
        <f t="shared" si="16"/>
        <v>8</v>
      </c>
      <c r="AH22" s="60">
        <f t="shared" si="17"/>
        <v>3</v>
      </c>
      <c r="AI22" s="64">
        <v>3</v>
      </c>
      <c r="AJ22" s="23">
        <v>3</v>
      </c>
      <c r="AK22" s="23">
        <v>5</v>
      </c>
      <c r="AL22" s="23">
        <f t="shared" si="18"/>
        <v>15</v>
      </c>
      <c r="AM22" s="94">
        <f t="shared" si="19"/>
        <v>3</v>
      </c>
    </row>
    <row r="23" spans="1:52" ht="15" x14ac:dyDescent="0.2">
      <c r="A23" s="18">
        <v>22</v>
      </c>
      <c r="B23" s="47" t="s">
        <v>60</v>
      </c>
      <c r="C23" s="15">
        <v>10929.79</v>
      </c>
      <c r="D23" s="39">
        <f>1984.319+357.178+1342.102</f>
        <v>3683.5990000000002</v>
      </c>
      <c r="E23" s="39">
        <f>1935.564+357.178+1217.851</f>
        <v>3510.5930000000003</v>
      </c>
      <c r="F23" s="39">
        <v>432.149</v>
      </c>
      <c r="G23" s="39">
        <v>71</v>
      </c>
      <c r="H23" s="40">
        <f t="shared" si="0"/>
        <v>0.32119491774315884</v>
      </c>
      <c r="I23" s="41">
        <f t="shared" si="1"/>
        <v>4</v>
      </c>
      <c r="J23" s="84">
        <f>220.846+0.002</f>
        <v>220.84800000000001</v>
      </c>
      <c r="K23" s="40">
        <f t="shared" si="2"/>
        <v>6.2909029898937305E-2</v>
      </c>
      <c r="L23" s="41">
        <f t="shared" si="3"/>
        <v>2</v>
      </c>
      <c r="M23" s="81">
        <f>1130.688+1034.969</f>
        <v>2165.6570000000002</v>
      </c>
      <c r="N23" s="40">
        <f t="shared" si="4"/>
        <v>0.61689207492865161</v>
      </c>
      <c r="O23" s="53">
        <f t="shared" si="5"/>
        <v>4</v>
      </c>
      <c r="P23" s="81">
        <f>525.727+M23+102.523+34.556+0.034</f>
        <v>2828.4970000000003</v>
      </c>
      <c r="Q23" s="74">
        <f t="shared" si="21"/>
        <v>0.80570348086491372</v>
      </c>
      <c r="R23" s="41">
        <f t="shared" si="6"/>
        <v>4</v>
      </c>
      <c r="S23" s="84">
        <f>211.362+M23+0.001</f>
        <v>2377.0200000000004</v>
      </c>
      <c r="T23" s="40">
        <f t="shared" si="7"/>
        <v>0.67709928208710046</v>
      </c>
      <c r="U23" s="42">
        <f t="shared" si="8"/>
        <v>8</v>
      </c>
      <c r="V23" s="41">
        <f t="shared" si="9"/>
        <v>4</v>
      </c>
      <c r="W23" s="81">
        <f>231.043+M23+102.523</f>
        <v>2499.2230000000004</v>
      </c>
      <c r="X23" s="40">
        <f t="shared" si="10"/>
        <v>0.71190907063279629</v>
      </c>
      <c r="Y23" s="41">
        <f t="shared" si="11"/>
        <v>4</v>
      </c>
      <c r="Z23" s="15">
        <v>1436.336</v>
      </c>
      <c r="AA23" s="39">
        <v>289.625</v>
      </c>
      <c r="AB23" s="40">
        <f t="shared" si="12"/>
        <v>8.2500306928202718E-2</v>
      </c>
      <c r="AC23" s="41">
        <f t="shared" si="13"/>
        <v>2</v>
      </c>
      <c r="AD23" s="82">
        <f t="shared" si="14"/>
        <v>4</v>
      </c>
      <c r="AE23" s="60">
        <f t="shared" si="15"/>
        <v>4</v>
      </c>
      <c r="AF23" s="58">
        <v>3</v>
      </c>
      <c r="AG23" s="59">
        <f t="shared" si="16"/>
        <v>12</v>
      </c>
      <c r="AH23" s="60">
        <f t="shared" si="17"/>
        <v>4</v>
      </c>
      <c r="AI23" s="65">
        <v>4</v>
      </c>
      <c r="AJ23" s="23">
        <v>3</v>
      </c>
      <c r="AK23" s="23">
        <v>7</v>
      </c>
      <c r="AL23" s="23">
        <f t="shared" si="18"/>
        <v>21</v>
      </c>
      <c r="AM23" s="95">
        <f t="shared" si="19"/>
        <v>4</v>
      </c>
    </row>
    <row r="24" spans="1:52" ht="15" x14ac:dyDescent="0.2">
      <c r="A24" s="18">
        <v>23</v>
      </c>
      <c r="B24" s="47" t="s">
        <v>61</v>
      </c>
      <c r="C24" s="15">
        <v>8797.7000000000007</v>
      </c>
      <c r="D24" s="39">
        <v>3556.8110000000001</v>
      </c>
      <c r="E24" s="39">
        <v>3448.5309999999999</v>
      </c>
      <c r="F24" s="39">
        <v>6.1180000000000003</v>
      </c>
      <c r="G24" s="39">
        <v>72</v>
      </c>
      <c r="H24" s="40">
        <f t="shared" si="0"/>
        <v>0.39198097229957823</v>
      </c>
      <c r="I24" s="41">
        <f t="shared" si="1"/>
        <v>4</v>
      </c>
      <c r="J24" s="84">
        <v>469.95800000000003</v>
      </c>
      <c r="K24" s="40">
        <f t="shared" si="2"/>
        <v>0.13627773681025343</v>
      </c>
      <c r="L24" s="41">
        <f t="shared" si="3"/>
        <v>2</v>
      </c>
      <c r="M24" s="81">
        <v>2232.8560000000002</v>
      </c>
      <c r="N24" s="40">
        <f t="shared" si="4"/>
        <v>0.6474803329301666</v>
      </c>
      <c r="O24" s="53">
        <f t="shared" si="5"/>
        <v>4</v>
      </c>
      <c r="P24" s="81">
        <f>693.54+M24</f>
        <v>2926.3960000000002</v>
      </c>
      <c r="Q24" s="74">
        <f t="shared" si="21"/>
        <v>0.84859205267402271</v>
      </c>
      <c r="R24" s="41">
        <f t="shared" si="6"/>
        <v>4</v>
      </c>
      <c r="S24" s="84">
        <f>477.027+M24</f>
        <v>2709.8830000000003</v>
      </c>
      <c r="T24" s="40">
        <f t="shared" si="7"/>
        <v>0.7858079280714021</v>
      </c>
      <c r="U24" s="42">
        <f t="shared" si="8"/>
        <v>8</v>
      </c>
      <c r="V24" s="41">
        <f t="shared" si="9"/>
        <v>4</v>
      </c>
      <c r="W24" s="81">
        <f>370.379+M24</f>
        <v>2603.2350000000001</v>
      </c>
      <c r="X24" s="40">
        <f t="shared" si="10"/>
        <v>0.7548822962588998</v>
      </c>
      <c r="Y24" s="41">
        <f t="shared" si="11"/>
        <v>4</v>
      </c>
      <c r="Z24" s="15">
        <v>2788.0230000000001</v>
      </c>
      <c r="AA24" s="39">
        <v>194.31899999999999</v>
      </c>
      <c r="AB24" s="40">
        <f t="shared" si="12"/>
        <v>5.6348340786265223E-2</v>
      </c>
      <c r="AC24" s="41">
        <f t="shared" si="13"/>
        <v>2</v>
      </c>
      <c r="AD24" s="82">
        <f t="shared" si="14"/>
        <v>4</v>
      </c>
      <c r="AE24" s="60">
        <f t="shared" si="15"/>
        <v>4</v>
      </c>
      <c r="AF24" s="58">
        <v>3</v>
      </c>
      <c r="AG24" s="59">
        <f t="shared" si="16"/>
        <v>12</v>
      </c>
      <c r="AH24" s="60">
        <f t="shared" si="17"/>
        <v>4</v>
      </c>
      <c r="AI24" s="65">
        <v>4</v>
      </c>
      <c r="AJ24" s="23">
        <v>3</v>
      </c>
      <c r="AK24" s="23">
        <v>7</v>
      </c>
      <c r="AL24" s="23">
        <f t="shared" si="18"/>
        <v>21</v>
      </c>
      <c r="AM24" s="95">
        <f t="shared" si="19"/>
        <v>4</v>
      </c>
    </row>
    <row r="25" spans="1:52" ht="15" x14ac:dyDescent="0.2">
      <c r="A25" s="18">
        <v>24</v>
      </c>
      <c r="B25" s="47" t="s">
        <v>62</v>
      </c>
      <c r="C25" s="15">
        <v>8600.08</v>
      </c>
      <c r="D25" s="39">
        <v>2923.17</v>
      </c>
      <c r="E25" s="39">
        <v>2876.317</v>
      </c>
      <c r="F25" s="39">
        <v>0</v>
      </c>
      <c r="G25" s="39">
        <v>70</v>
      </c>
      <c r="H25" s="40">
        <f t="shared" si="0"/>
        <v>0.33445235393159134</v>
      </c>
      <c r="I25" s="41">
        <f t="shared" si="1"/>
        <v>4</v>
      </c>
      <c r="J25" s="84">
        <v>914.57399999999996</v>
      </c>
      <c r="K25" s="40">
        <f t="shared" si="2"/>
        <v>0.31796703909895885</v>
      </c>
      <c r="L25" s="41">
        <f t="shared" si="3"/>
        <v>4</v>
      </c>
      <c r="M25" s="81">
        <v>950.33</v>
      </c>
      <c r="N25" s="40">
        <f t="shared" si="4"/>
        <v>0.33039821410505171</v>
      </c>
      <c r="O25" s="53">
        <f t="shared" si="5"/>
        <v>3</v>
      </c>
      <c r="P25" s="81">
        <f>818.411+M25</f>
        <v>1768.741</v>
      </c>
      <c r="Q25" s="74">
        <f>P25/D25</f>
        <v>0.60507633835869956</v>
      </c>
      <c r="R25" s="41">
        <f t="shared" si="6"/>
        <v>4</v>
      </c>
      <c r="S25" s="84">
        <f>753.612+M25</f>
        <v>1703.942</v>
      </c>
      <c r="T25" s="40">
        <f t="shared" si="7"/>
        <v>0.59240410566707358</v>
      </c>
      <c r="U25" s="42">
        <f t="shared" si="8"/>
        <v>6</v>
      </c>
      <c r="V25" s="41">
        <f t="shared" si="9"/>
        <v>3</v>
      </c>
      <c r="W25" s="81">
        <f>758.553+M25</f>
        <v>1708.883</v>
      </c>
      <c r="X25" s="40">
        <f t="shared" si="10"/>
        <v>0.59412192745097292</v>
      </c>
      <c r="Y25" s="41">
        <f t="shared" si="11"/>
        <v>3</v>
      </c>
      <c r="Z25" s="15">
        <v>1816.8920000000001</v>
      </c>
      <c r="AA25" s="39">
        <v>769.34</v>
      </c>
      <c r="AB25" s="40">
        <f t="shared" si="12"/>
        <v>0.26747399539063327</v>
      </c>
      <c r="AC25" s="41">
        <f t="shared" si="13"/>
        <v>4</v>
      </c>
      <c r="AD25" s="82">
        <f t="shared" si="14"/>
        <v>4</v>
      </c>
      <c r="AE25" s="60">
        <f t="shared" si="15"/>
        <v>4</v>
      </c>
      <c r="AF25" s="58">
        <v>4</v>
      </c>
      <c r="AG25" s="59">
        <f t="shared" si="16"/>
        <v>16</v>
      </c>
      <c r="AH25" s="60">
        <f t="shared" si="17"/>
        <v>4</v>
      </c>
      <c r="AI25" s="65">
        <v>4</v>
      </c>
      <c r="AJ25" s="23">
        <v>3</v>
      </c>
      <c r="AK25" s="23">
        <v>7</v>
      </c>
      <c r="AL25" s="23">
        <f t="shared" si="18"/>
        <v>21</v>
      </c>
      <c r="AM25" s="95">
        <f t="shared" si="19"/>
        <v>4</v>
      </c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5"/>
      <c r="AY25" s="5"/>
      <c r="AZ25" s="5"/>
    </row>
    <row r="26" spans="1:52" ht="15" x14ac:dyDescent="0.2">
      <c r="A26" s="18">
        <v>25</v>
      </c>
      <c r="B26" s="47" t="s">
        <v>63</v>
      </c>
      <c r="C26" s="15">
        <v>3738.95</v>
      </c>
      <c r="D26" s="39">
        <f>2354.048+134.417</f>
        <v>2488.4649999999997</v>
      </c>
      <c r="E26" s="39">
        <f>2274.783+132.795</f>
        <v>2407.578</v>
      </c>
      <c r="F26" s="39">
        <v>18.253</v>
      </c>
      <c r="G26" s="39">
        <v>65</v>
      </c>
      <c r="H26" s="40">
        <f t="shared" si="0"/>
        <v>0.64391821233233937</v>
      </c>
      <c r="I26" s="41">
        <f t="shared" si="1"/>
        <v>4</v>
      </c>
      <c r="J26" s="84">
        <v>104.563</v>
      </c>
      <c r="K26" s="40">
        <f t="shared" si="2"/>
        <v>4.3430783966293095E-2</v>
      </c>
      <c r="L26" s="41">
        <f t="shared" si="3"/>
        <v>1</v>
      </c>
      <c r="M26" s="81">
        <f>1642+132.495</f>
        <v>1774.4949999999999</v>
      </c>
      <c r="N26" s="40">
        <f t="shared" si="4"/>
        <v>0.73704569488506699</v>
      </c>
      <c r="O26" s="53">
        <f t="shared" si="5"/>
        <v>4</v>
      </c>
      <c r="P26" s="81">
        <f>M26+588.519</f>
        <v>2363.0140000000001</v>
      </c>
      <c r="Q26" s="74">
        <f>P26/E26</f>
        <v>0.98149011163916611</v>
      </c>
      <c r="R26" s="41">
        <f t="shared" si="6"/>
        <v>4</v>
      </c>
      <c r="S26" s="84">
        <f>37.249+M26</f>
        <v>1811.7439999999999</v>
      </c>
      <c r="T26" s="40">
        <f t="shared" si="7"/>
        <v>0.75251726008461617</v>
      </c>
      <c r="U26" s="42">
        <f t="shared" si="8"/>
        <v>8</v>
      </c>
      <c r="V26" s="41">
        <f t="shared" si="9"/>
        <v>4</v>
      </c>
      <c r="W26" s="81">
        <f>M26+241.035</f>
        <v>2015.53</v>
      </c>
      <c r="X26" s="40">
        <f t="shared" si="10"/>
        <v>0.83716083134170527</v>
      </c>
      <c r="Y26" s="41">
        <f t="shared" si="11"/>
        <v>4</v>
      </c>
      <c r="Z26" s="15">
        <v>2021.9949999999999</v>
      </c>
      <c r="AA26" s="39">
        <v>103.97</v>
      </c>
      <c r="AB26" s="40">
        <f t="shared" si="12"/>
        <v>4.3184478342965418E-2</v>
      </c>
      <c r="AC26" s="41">
        <f t="shared" si="13"/>
        <v>1</v>
      </c>
      <c r="AD26" s="82">
        <f t="shared" si="14"/>
        <v>3.7142857142857144</v>
      </c>
      <c r="AE26" s="60">
        <f t="shared" si="15"/>
        <v>3</v>
      </c>
      <c r="AF26" s="58">
        <v>1</v>
      </c>
      <c r="AG26" s="59">
        <f t="shared" si="16"/>
        <v>3</v>
      </c>
      <c r="AH26" s="60">
        <f t="shared" si="17"/>
        <v>2</v>
      </c>
      <c r="AI26" s="63">
        <v>2</v>
      </c>
      <c r="AJ26" s="23">
        <v>3</v>
      </c>
      <c r="AK26" s="23">
        <v>5</v>
      </c>
      <c r="AL26" s="23">
        <f t="shared" si="18"/>
        <v>15</v>
      </c>
      <c r="AM26" s="94">
        <f t="shared" si="19"/>
        <v>3</v>
      </c>
    </row>
    <row r="27" spans="1:52" ht="15.75" thickBot="1" x14ac:dyDescent="0.25">
      <c r="A27" s="19">
        <v>26</v>
      </c>
      <c r="B27" s="51" t="s">
        <v>64</v>
      </c>
      <c r="C27" s="44">
        <v>8155.45</v>
      </c>
      <c r="D27" s="52">
        <v>3218.0309999999999</v>
      </c>
      <c r="E27" s="52">
        <v>3163.826</v>
      </c>
      <c r="F27" s="52">
        <v>0</v>
      </c>
      <c r="G27" s="52">
        <v>62</v>
      </c>
      <c r="H27" s="45">
        <f t="shared" si="0"/>
        <v>0.38794008914284311</v>
      </c>
      <c r="I27" s="46">
        <f t="shared" si="1"/>
        <v>4</v>
      </c>
      <c r="J27" s="85">
        <v>174.58099999999999</v>
      </c>
      <c r="K27" s="45">
        <f t="shared" si="2"/>
        <v>5.5180341776064797E-2</v>
      </c>
      <c r="L27" s="46">
        <f t="shared" si="3"/>
        <v>2</v>
      </c>
      <c r="M27" s="83">
        <v>2280.2869999999998</v>
      </c>
      <c r="N27" s="45">
        <f t="shared" si="4"/>
        <v>0.72073717075464949</v>
      </c>
      <c r="O27" s="54">
        <f t="shared" si="5"/>
        <v>4</v>
      </c>
      <c r="P27" s="83">
        <f>659.567+M27</f>
        <v>2939.8539999999998</v>
      </c>
      <c r="Q27" s="78">
        <f>P27/D27</f>
        <v>0.91355676809825637</v>
      </c>
      <c r="R27" s="46">
        <f t="shared" si="6"/>
        <v>4</v>
      </c>
      <c r="S27" s="85">
        <f>187.201+M27</f>
        <v>2467.4879999999998</v>
      </c>
      <c r="T27" s="45">
        <f t="shared" si="7"/>
        <v>0.77990635388924667</v>
      </c>
      <c r="U27" s="55">
        <f t="shared" si="8"/>
        <v>8</v>
      </c>
      <c r="V27" s="46">
        <f t="shared" si="9"/>
        <v>4</v>
      </c>
      <c r="W27" s="83">
        <f>505.368+M27</f>
        <v>2785.6549999999997</v>
      </c>
      <c r="X27" s="45">
        <f t="shared" si="10"/>
        <v>0.88047035456437861</v>
      </c>
      <c r="Y27" s="46">
        <f t="shared" si="11"/>
        <v>4</v>
      </c>
      <c r="Z27" s="44">
        <v>2568.8589999999999</v>
      </c>
      <c r="AA27" s="52">
        <v>426.37599999999998</v>
      </c>
      <c r="AB27" s="45">
        <f t="shared" si="12"/>
        <v>0.13476594477698836</v>
      </c>
      <c r="AC27" s="46">
        <f t="shared" si="13"/>
        <v>2</v>
      </c>
      <c r="AD27" s="82">
        <f t="shared" si="14"/>
        <v>4</v>
      </c>
      <c r="AE27" s="61">
        <f t="shared" si="15"/>
        <v>4</v>
      </c>
      <c r="AF27" s="58">
        <v>2</v>
      </c>
      <c r="AG27" s="59">
        <f t="shared" si="16"/>
        <v>8</v>
      </c>
      <c r="AH27" s="61">
        <f t="shared" si="17"/>
        <v>3</v>
      </c>
      <c r="AI27" s="67">
        <v>3</v>
      </c>
      <c r="AJ27" s="23">
        <v>3</v>
      </c>
      <c r="AK27" s="23">
        <v>5</v>
      </c>
      <c r="AL27" s="23">
        <f t="shared" si="18"/>
        <v>15</v>
      </c>
      <c r="AM27" s="94">
        <f t="shared" si="19"/>
        <v>3</v>
      </c>
    </row>
    <row r="28" spans="1:52" x14ac:dyDescent="0.2">
      <c r="A28" s="5"/>
      <c r="B28" s="5"/>
      <c r="C28" s="5"/>
      <c r="D28" s="7"/>
      <c r="E28" s="7"/>
      <c r="F28" s="7"/>
      <c r="G28" s="5"/>
      <c r="H28" s="5"/>
      <c r="I28" s="89"/>
      <c r="J28" s="89"/>
      <c r="K28" s="89"/>
      <c r="L28" s="89"/>
      <c r="M28" s="89"/>
      <c r="N28" s="89"/>
      <c r="O28" s="89"/>
      <c r="P28" s="89"/>
      <c r="Q28" s="89"/>
      <c r="R28" s="90"/>
      <c r="S28" s="89"/>
      <c r="T28" s="89"/>
      <c r="U28" s="89"/>
      <c r="V28" s="90"/>
      <c r="W28" s="89"/>
      <c r="X28" s="89"/>
      <c r="Y28" s="90"/>
      <c r="Z28" s="89"/>
      <c r="AA28" s="89"/>
      <c r="AB28" s="89"/>
      <c r="AC28" s="90"/>
      <c r="AD28" s="90"/>
      <c r="AE28" s="91"/>
      <c r="AF28" s="91"/>
      <c r="AG28" s="91"/>
      <c r="AH28" s="91"/>
      <c r="AI28" s="9"/>
      <c r="AJ28" s="9"/>
      <c r="AK28" s="9"/>
      <c r="AL28" s="9"/>
      <c r="AM28" s="4"/>
    </row>
    <row r="29" spans="1:52" x14ac:dyDescent="0.2">
      <c r="I29" s="92">
        <f>AVERAGEA(I2:I27)</f>
        <v>3.3076923076923075</v>
      </c>
      <c r="J29" s="92"/>
      <c r="K29" s="92"/>
      <c r="L29" s="92">
        <f t="shared" ref="L29:AC29" si="22">AVERAGEA(L2:L27)</f>
        <v>2.6538461538461537</v>
      </c>
      <c r="M29" s="92"/>
      <c r="N29" s="92"/>
      <c r="O29" s="92">
        <f t="shared" si="22"/>
        <v>3.3461538461538463</v>
      </c>
      <c r="P29" s="92"/>
      <c r="Q29" s="92"/>
      <c r="R29" s="92">
        <f t="shared" si="22"/>
        <v>3.6538461538461537</v>
      </c>
      <c r="S29" s="92"/>
      <c r="T29" s="92"/>
      <c r="U29" s="92"/>
      <c r="V29" s="92">
        <f>AVERAGEA(V2:V27)</f>
        <v>3.7692307692307692</v>
      </c>
      <c r="W29" s="92"/>
      <c r="X29" s="92"/>
      <c r="Y29" s="92">
        <f t="shared" si="22"/>
        <v>3.3846153846153846</v>
      </c>
      <c r="Z29" s="92"/>
      <c r="AA29" s="92"/>
      <c r="AB29" s="92"/>
      <c r="AC29" s="92">
        <f t="shared" si="22"/>
        <v>2.7307692307692308</v>
      </c>
      <c r="AD29" s="92"/>
      <c r="AE29" s="92"/>
      <c r="AF29" s="92"/>
      <c r="AG29" s="92"/>
      <c r="AH29" s="92"/>
    </row>
  </sheetData>
  <sortState xmlns:xlrd2="http://schemas.microsoft.com/office/spreadsheetml/2017/richdata2" ref="A2:AM27">
    <sortCondition ref="A2:A27"/>
  </sortState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28"/>
  <sheetViews>
    <sheetView zoomScale="80" zoomScaleNormal="80" workbookViewId="0">
      <selection activeCell="A2" sqref="A2:A27"/>
    </sheetView>
  </sheetViews>
  <sheetFormatPr defaultColWidth="8.7109375" defaultRowHeight="12.75" x14ac:dyDescent="0.2"/>
  <cols>
    <col min="1" max="1" width="8.140625" style="2" customWidth="1"/>
    <col min="2" max="2" width="25.5703125" style="2" customWidth="1"/>
    <col min="3" max="3" width="16" style="2" customWidth="1"/>
    <col min="4" max="4" width="15.5703125" style="6" customWidth="1"/>
    <col min="5" max="6" width="14.140625" style="6" customWidth="1"/>
    <col min="7" max="7" width="14.7109375" style="2" customWidth="1"/>
    <col min="8" max="8" width="14.140625" style="2" customWidth="1"/>
    <col min="9" max="9" width="15.7109375" style="2" customWidth="1"/>
    <col min="10" max="11" width="14.7109375" style="2" customWidth="1"/>
    <col min="12" max="12" width="17" style="2" customWidth="1"/>
    <col min="13" max="13" width="15.140625" style="6" customWidth="1"/>
    <col min="14" max="18" width="15.140625" style="2" customWidth="1"/>
    <col min="19" max="19" width="15.140625" style="3" customWidth="1"/>
    <col min="20" max="20" width="19.5703125" style="2" customWidth="1"/>
    <col min="21" max="21" width="17.7109375" style="2" customWidth="1"/>
    <col min="22" max="22" width="15.5703125" style="3" customWidth="1"/>
    <col min="23" max="23" width="19.140625" style="2" customWidth="1"/>
    <col min="24" max="24" width="16.5703125" style="2" customWidth="1"/>
    <col min="25" max="25" width="20.85546875" style="2" customWidth="1"/>
    <col min="26" max="26" width="17.5703125" style="2" customWidth="1"/>
    <col min="27" max="27" width="15.7109375" style="3" customWidth="1"/>
    <col min="28" max="28" width="15.42578125" style="1" customWidth="1"/>
    <col min="29" max="29" width="14.5703125" style="1" customWidth="1"/>
    <col min="30" max="30" width="15.140625" style="1" customWidth="1"/>
    <col min="31" max="31" width="16" style="1" customWidth="1"/>
    <col min="32" max="32" width="15.140625" style="1" customWidth="1"/>
    <col min="33" max="33" width="18.42578125" style="1" customWidth="1"/>
    <col min="34" max="34" width="18" style="1" customWidth="1"/>
    <col min="35" max="35" width="16.28515625" style="1" customWidth="1"/>
    <col min="36" max="36" width="14.42578125" style="3" customWidth="1"/>
    <col min="37" max="16384" width="8.7109375" style="2"/>
  </cols>
  <sheetData>
    <row r="1" spans="1:36" ht="114.75" x14ac:dyDescent="0.2">
      <c r="A1" s="16" t="s">
        <v>0</v>
      </c>
      <c r="B1" s="17" t="s">
        <v>1</v>
      </c>
      <c r="C1" s="12" t="s">
        <v>2</v>
      </c>
      <c r="D1" s="13" t="s">
        <v>3</v>
      </c>
      <c r="E1" s="13" t="s">
        <v>4</v>
      </c>
      <c r="F1" s="13" t="s">
        <v>66</v>
      </c>
      <c r="G1" s="13" t="s">
        <v>6</v>
      </c>
      <c r="H1" s="13" t="s">
        <v>7</v>
      </c>
      <c r="I1" s="14" t="s">
        <v>8</v>
      </c>
      <c r="J1" s="12" t="s">
        <v>67</v>
      </c>
      <c r="K1" s="13" t="s">
        <v>10</v>
      </c>
      <c r="L1" s="14" t="s">
        <v>11</v>
      </c>
      <c r="M1" s="12" t="s">
        <v>12</v>
      </c>
      <c r="N1" s="13" t="s">
        <v>13</v>
      </c>
      <c r="O1" s="14" t="s">
        <v>14</v>
      </c>
      <c r="P1" s="12" t="s">
        <v>68</v>
      </c>
      <c r="Q1" s="13" t="s">
        <v>69</v>
      </c>
      <c r="R1" s="13" t="s">
        <v>70</v>
      </c>
      <c r="S1" s="14" t="s">
        <v>17</v>
      </c>
      <c r="T1" s="12" t="s">
        <v>22</v>
      </c>
      <c r="U1" s="13" t="s">
        <v>23</v>
      </c>
      <c r="V1" s="14" t="s">
        <v>21</v>
      </c>
      <c r="W1" s="20" t="s">
        <v>25</v>
      </c>
      <c r="X1" s="13" t="s">
        <v>26</v>
      </c>
      <c r="Y1" s="13" t="s">
        <v>74</v>
      </c>
      <c r="Z1" s="14" t="s">
        <v>24</v>
      </c>
      <c r="AA1" s="68" t="s">
        <v>29</v>
      </c>
      <c r="AB1" s="22" t="s">
        <v>30</v>
      </c>
      <c r="AC1" s="11" t="s">
        <v>31</v>
      </c>
      <c r="AD1" s="24" t="s">
        <v>32</v>
      </c>
      <c r="AE1" s="22" t="s">
        <v>33</v>
      </c>
      <c r="AF1" s="22" t="s">
        <v>34</v>
      </c>
      <c r="AG1" s="10" t="s">
        <v>35</v>
      </c>
      <c r="AH1" s="10" t="s">
        <v>36</v>
      </c>
      <c r="AI1" s="10" t="s">
        <v>37</v>
      </c>
      <c r="AJ1" s="10" t="s">
        <v>38</v>
      </c>
    </row>
    <row r="2" spans="1:36" ht="15" x14ac:dyDescent="0.2">
      <c r="A2" s="18">
        <v>1</v>
      </c>
      <c r="B2" s="47" t="s">
        <v>39</v>
      </c>
      <c r="C2" s="15">
        <v>24016.080000000002</v>
      </c>
      <c r="D2" s="39">
        <v>6385.7330000000002</v>
      </c>
      <c r="E2" s="39">
        <v>6168.7169999999996</v>
      </c>
      <c r="F2" s="39">
        <v>36.640999999999998</v>
      </c>
      <c r="G2" s="39">
        <v>67</v>
      </c>
      <c r="H2" s="40">
        <f t="shared" ref="H2:H27" si="0">E2/C2</f>
        <v>0.25685778028720752</v>
      </c>
      <c r="I2" s="41">
        <f t="shared" ref="I2:I27" si="1">IF(H2&lt;10%,1,IF(H2&lt;20%,2,IF(H2&lt;30%,3,4)))</f>
        <v>3</v>
      </c>
      <c r="J2" s="15">
        <f>1687.589+12.365+3.022+1.171</f>
        <v>1704.1469999999999</v>
      </c>
      <c r="K2" s="40">
        <f t="shared" ref="K2:K27" si="2">J2/E2</f>
        <v>0.27625631067205708</v>
      </c>
      <c r="L2" s="41">
        <f t="shared" ref="L2:L27" si="3">IF(K2&lt;5%,1,IF(K2&lt;15%,2,IF(K2&lt;25%,3,4)))</f>
        <v>4</v>
      </c>
      <c r="M2" s="15">
        <f>906.724+13.734</f>
        <v>920.45800000000008</v>
      </c>
      <c r="N2" s="40">
        <f t="shared" ref="N2:N27" si="4">M2/E2</f>
        <v>0.14921384787144557</v>
      </c>
      <c r="O2" s="53">
        <f t="shared" ref="O2:O27" si="5">IF(N2&lt;5%,1,IF(N2&lt;20%,2,IF(N2&lt;40%,3,4)))</f>
        <v>2</v>
      </c>
      <c r="P2" s="15">
        <v>3356.2060000000001</v>
      </c>
      <c r="Q2" s="40">
        <f t="shared" ref="Q2:Q27" si="6">P2/E2</f>
        <v>0.54406872612246604</v>
      </c>
      <c r="R2" s="42">
        <f t="shared" ref="R2:R27" si="7">S2*2</f>
        <v>8</v>
      </c>
      <c r="S2" s="41">
        <f t="shared" ref="S2:S27" si="8">IF(Q2&lt;5%,1,IF(Q2&lt;15%,2,IF(Q2&lt;30%,3,4)))</f>
        <v>4</v>
      </c>
      <c r="T2" s="15">
        <v>2661.2779999999998</v>
      </c>
      <c r="U2" s="40">
        <f t="shared" ref="U2:U27" si="9">T2/E2</f>
        <v>0.43141515488552967</v>
      </c>
      <c r="V2" s="41">
        <f t="shared" ref="V2:V27" si="10">IF(U2&lt;10%,1,IF(U2&lt;50%,2,IF(U2&lt;80%,3,IF(U2&gt;80%,4))))</f>
        <v>2</v>
      </c>
      <c r="W2" s="15">
        <v>2752.9920000000002</v>
      </c>
      <c r="X2" s="39">
        <v>986.7</v>
      </c>
      <c r="Y2" s="40">
        <f t="shared" ref="Y2:Y27" si="11">X2/E2</f>
        <v>0.15995222345262397</v>
      </c>
      <c r="Z2" s="41">
        <f t="shared" ref="Z2:Z27" si="12">IF(Y2&lt;5%,1,IF(Y2&lt;15%,2,IF(Y2&lt;25%,3,IF(Y2&lt;40,4))))</f>
        <v>3</v>
      </c>
      <c r="AA2" s="57">
        <f t="shared" ref="AA2:AA27" si="13">(Z2+V2+R2+O2+L2+I2)/6</f>
        <v>3.6666666666666665</v>
      </c>
      <c r="AB2" s="60">
        <f t="shared" ref="AB2:AB27" si="14">IF(AA2&lt;1.5,1,IF(AA2&lt;2.5,2,IF(AA2&lt;3.5,3,4)))</f>
        <v>4</v>
      </c>
      <c r="AC2" s="58">
        <v>3</v>
      </c>
      <c r="AD2" s="59">
        <f t="shared" ref="AD2:AD27" si="15">AB2*AC2</f>
        <v>12</v>
      </c>
      <c r="AE2" s="60">
        <f t="shared" ref="AE2:AE27" si="16">IF(AD2&lt;3,1,IF(AD2&lt;5,2,IF(AD2&lt;12,3,4)))</f>
        <v>4</v>
      </c>
      <c r="AF2" s="65">
        <v>4</v>
      </c>
      <c r="AG2" s="23">
        <v>2</v>
      </c>
      <c r="AH2" s="23">
        <v>6</v>
      </c>
      <c r="AI2" s="23">
        <f t="shared" ref="AI2:AI27" si="17">AG2*AH2</f>
        <v>12</v>
      </c>
      <c r="AJ2" s="94">
        <f t="shared" ref="AJ2:AJ27" si="18">IF(AI2&lt;6,1,IF(AI2&lt;12,2,IF(AI2&lt;18,3,4)))</f>
        <v>3</v>
      </c>
    </row>
    <row r="3" spans="1:36" ht="15" x14ac:dyDescent="0.2">
      <c r="A3" s="18">
        <v>2</v>
      </c>
      <c r="B3" s="47" t="s">
        <v>40</v>
      </c>
      <c r="C3" s="15">
        <v>3218.24</v>
      </c>
      <c r="D3" s="39">
        <v>1530.242</v>
      </c>
      <c r="E3" s="39">
        <v>1499.578</v>
      </c>
      <c r="F3" s="39">
        <v>0.13700000000000001</v>
      </c>
      <c r="G3" s="39">
        <v>71</v>
      </c>
      <c r="H3" s="40">
        <f t="shared" si="0"/>
        <v>0.46596214079745452</v>
      </c>
      <c r="I3" s="41">
        <f t="shared" si="1"/>
        <v>4</v>
      </c>
      <c r="J3" s="15">
        <v>362.15199999999999</v>
      </c>
      <c r="K3" s="40">
        <f t="shared" si="2"/>
        <v>0.24150260940077808</v>
      </c>
      <c r="L3" s="41">
        <f t="shared" si="3"/>
        <v>3</v>
      </c>
      <c r="M3" s="15">
        <v>532.70000000000005</v>
      </c>
      <c r="N3" s="40">
        <f t="shared" si="4"/>
        <v>0.35523327229393875</v>
      </c>
      <c r="O3" s="53">
        <f t="shared" si="5"/>
        <v>3</v>
      </c>
      <c r="P3" s="15">
        <v>67.436999999999998</v>
      </c>
      <c r="Q3" s="40">
        <f t="shared" si="6"/>
        <v>4.4970651743357133E-2</v>
      </c>
      <c r="R3" s="42">
        <f t="shared" si="7"/>
        <v>2</v>
      </c>
      <c r="S3" s="41">
        <f t="shared" si="8"/>
        <v>1</v>
      </c>
      <c r="T3" s="15">
        <f>569.513+M3</f>
        <v>1102.2130000000002</v>
      </c>
      <c r="U3" s="40">
        <f t="shared" si="9"/>
        <v>0.73501545101355192</v>
      </c>
      <c r="V3" s="41">
        <f t="shared" si="10"/>
        <v>3</v>
      </c>
      <c r="W3" s="15">
        <v>1269.4590000000001</v>
      </c>
      <c r="X3" s="39">
        <v>413.60700000000003</v>
      </c>
      <c r="Y3" s="40">
        <f t="shared" si="11"/>
        <v>0.27581559612104206</v>
      </c>
      <c r="Z3" s="41">
        <f t="shared" si="12"/>
        <v>4</v>
      </c>
      <c r="AA3" s="57">
        <f t="shared" si="13"/>
        <v>3.1666666666666665</v>
      </c>
      <c r="AB3" s="60">
        <f t="shared" si="14"/>
        <v>3</v>
      </c>
      <c r="AC3" s="58">
        <v>0</v>
      </c>
      <c r="AD3" s="59">
        <f t="shared" si="15"/>
        <v>0</v>
      </c>
      <c r="AE3" s="60">
        <f t="shared" si="16"/>
        <v>1</v>
      </c>
      <c r="AF3" s="62">
        <v>0</v>
      </c>
      <c r="AG3" s="23">
        <v>2</v>
      </c>
      <c r="AH3" s="23">
        <v>5</v>
      </c>
      <c r="AI3" s="23">
        <f t="shared" si="17"/>
        <v>10</v>
      </c>
      <c r="AJ3" s="96">
        <f t="shared" si="18"/>
        <v>2</v>
      </c>
    </row>
    <row r="4" spans="1:36" ht="15" x14ac:dyDescent="0.2">
      <c r="A4" s="18">
        <v>3</v>
      </c>
      <c r="B4" s="49" t="s">
        <v>41</v>
      </c>
      <c r="C4" s="15">
        <v>1150.71</v>
      </c>
      <c r="D4" s="39">
        <v>53.204999999999998</v>
      </c>
      <c r="E4" s="39">
        <v>50.284999999999997</v>
      </c>
      <c r="F4" s="39">
        <v>14.334</v>
      </c>
      <c r="G4" s="39">
        <v>80</v>
      </c>
      <c r="H4" s="40">
        <f t="shared" si="0"/>
        <v>4.3699107507538817E-2</v>
      </c>
      <c r="I4" s="41">
        <f t="shared" si="1"/>
        <v>1</v>
      </c>
      <c r="J4" s="15">
        <v>38.387</v>
      </c>
      <c r="K4" s="40">
        <f t="shared" si="2"/>
        <v>0.76338868449835939</v>
      </c>
      <c r="L4" s="41">
        <f t="shared" si="3"/>
        <v>4</v>
      </c>
      <c r="M4" s="15">
        <v>3.2050000000000001</v>
      </c>
      <c r="N4" s="40">
        <f t="shared" si="4"/>
        <v>6.3736700805409177E-2</v>
      </c>
      <c r="O4" s="53">
        <f t="shared" si="5"/>
        <v>2</v>
      </c>
      <c r="P4" s="15">
        <v>3.5619999999999998</v>
      </c>
      <c r="Q4" s="40">
        <f t="shared" si="6"/>
        <v>7.0836233469225421E-2</v>
      </c>
      <c r="R4" s="42">
        <f t="shared" si="7"/>
        <v>4</v>
      </c>
      <c r="S4" s="41">
        <f t="shared" si="8"/>
        <v>2</v>
      </c>
      <c r="T4" s="15">
        <f>6.484+M4</f>
        <v>9.6890000000000001</v>
      </c>
      <c r="U4" s="40">
        <f t="shared" si="9"/>
        <v>0.19268171422889532</v>
      </c>
      <c r="V4" s="41">
        <f t="shared" si="10"/>
        <v>2</v>
      </c>
      <c r="W4" s="15">
        <v>30.716000000000001</v>
      </c>
      <c r="X4" s="39">
        <v>5.35</v>
      </c>
      <c r="Y4" s="40">
        <f t="shared" si="11"/>
        <v>0.10639355672665805</v>
      </c>
      <c r="Z4" s="41">
        <f t="shared" si="12"/>
        <v>2</v>
      </c>
      <c r="AA4" s="57">
        <f t="shared" si="13"/>
        <v>2.5</v>
      </c>
      <c r="AB4" s="60">
        <f t="shared" si="14"/>
        <v>3</v>
      </c>
      <c r="AC4" s="58">
        <v>3</v>
      </c>
      <c r="AD4" s="59">
        <f t="shared" si="15"/>
        <v>9</v>
      </c>
      <c r="AE4" s="60">
        <f t="shared" si="16"/>
        <v>3</v>
      </c>
      <c r="AF4" s="64">
        <v>3</v>
      </c>
      <c r="AG4" s="23">
        <v>2</v>
      </c>
      <c r="AH4" s="23">
        <v>6</v>
      </c>
      <c r="AI4" s="23">
        <f t="shared" si="17"/>
        <v>12</v>
      </c>
      <c r="AJ4" s="94">
        <f t="shared" si="18"/>
        <v>3</v>
      </c>
    </row>
    <row r="5" spans="1:36" ht="15" x14ac:dyDescent="0.2">
      <c r="A5" s="18">
        <v>4</v>
      </c>
      <c r="B5" s="47" t="s">
        <v>42</v>
      </c>
      <c r="C5" s="15">
        <v>2072.1999999999998</v>
      </c>
      <c r="D5" s="39">
        <v>913.41800000000001</v>
      </c>
      <c r="E5" s="39">
        <v>870.41700000000003</v>
      </c>
      <c r="F5" s="39">
        <v>5.0350000000000001</v>
      </c>
      <c r="G5" s="39">
        <v>62</v>
      </c>
      <c r="H5" s="40">
        <f t="shared" si="0"/>
        <v>0.42004487983785355</v>
      </c>
      <c r="I5" s="41">
        <f t="shared" si="1"/>
        <v>4</v>
      </c>
      <c r="J5" s="15">
        <v>47.435000000000002</v>
      </c>
      <c r="K5" s="40">
        <f t="shared" si="2"/>
        <v>5.4496867593348937E-2</v>
      </c>
      <c r="L5" s="41">
        <f t="shared" si="3"/>
        <v>2</v>
      </c>
      <c r="M5" s="15">
        <v>598.63</v>
      </c>
      <c r="N5" s="40">
        <f t="shared" si="4"/>
        <v>0.68775081369044944</v>
      </c>
      <c r="O5" s="53">
        <f t="shared" si="5"/>
        <v>4</v>
      </c>
      <c r="P5" s="15">
        <v>56.530999999999999</v>
      </c>
      <c r="Q5" s="40">
        <f t="shared" si="6"/>
        <v>6.4947031135651076E-2</v>
      </c>
      <c r="R5" s="42">
        <f t="shared" si="7"/>
        <v>4</v>
      </c>
      <c r="S5" s="41">
        <f t="shared" si="8"/>
        <v>2</v>
      </c>
      <c r="T5" s="15">
        <f>88.824+M5</f>
        <v>687.45399999999995</v>
      </c>
      <c r="U5" s="40">
        <f t="shared" si="9"/>
        <v>0.78979845292543682</v>
      </c>
      <c r="V5" s="41">
        <f t="shared" si="10"/>
        <v>3</v>
      </c>
      <c r="W5" s="15">
        <v>819.81700000000001</v>
      </c>
      <c r="X5" s="39">
        <v>6.2889999999999997</v>
      </c>
      <c r="Y5" s="40">
        <f t="shared" si="11"/>
        <v>7.225272484337966E-3</v>
      </c>
      <c r="Z5" s="41">
        <f t="shared" si="12"/>
        <v>1</v>
      </c>
      <c r="AA5" s="57">
        <f t="shared" si="13"/>
        <v>3</v>
      </c>
      <c r="AB5" s="60">
        <f t="shared" si="14"/>
        <v>3</v>
      </c>
      <c r="AC5" s="58">
        <v>2</v>
      </c>
      <c r="AD5" s="59">
        <f t="shared" si="15"/>
        <v>6</v>
      </c>
      <c r="AE5" s="60">
        <f t="shared" si="16"/>
        <v>3</v>
      </c>
      <c r="AF5" s="64">
        <v>3</v>
      </c>
      <c r="AG5" s="23">
        <v>2</v>
      </c>
      <c r="AH5" s="23">
        <v>5</v>
      </c>
      <c r="AI5" s="23">
        <f t="shared" si="17"/>
        <v>10</v>
      </c>
      <c r="AJ5" s="96">
        <f t="shared" si="18"/>
        <v>2</v>
      </c>
    </row>
    <row r="6" spans="1:36" ht="15" x14ac:dyDescent="0.2">
      <c r="A6" s="18">
        <v>5</v>
      </c>
      <c r="B6" s="47" t="s">
        <v>43</v>
      </c>
      <c r="C6" s="15">
        <v>8249.25</v>
      </c>
      <c r="D6" s="39">
        <f>4484.424+544.68</f>
        <v>5029.1040000000003</v>
      </c>
      <c r="E6" s="39">
        <f>4107.924+346.657</f>
        <v>4454.5810000000001</v>
      </c>
      <c r="F6" s="39">
        <v>3.2559999999999998</v>
      </c>
      <c r="G6" s="39">
        <v>75</v>
      </c>
      <c r="H6" s="40">
        <f t="shared" si="0"/>
        <v>0.53999830287601902</v>
      </c>
      <c r="I6" s="41">
        <f t="shared" si="1"/>
        <v>4</v>
      </c>
      <c r="J6" s="15">
        <v>242.732</v>
      </c>
      <c r="K6" s="40">
        <f t="shared" si="2"/>
        <v>5.4490422331527927E-2</v>
      </c>
      <c r="L6" s="41">
        <f t="shared" si="3"/>
        <v>2</v>
      </c>
      <c r="M6" s="15">
        <f>2747.98+345.901</f>
        <v>3093.8809999999999</v>
      </c>
      <c r="N6" s="40">
        <f t="shared" si="4"/>
        <v>0.69453917214660588</v>
      </c>
      <c r="O6" s="53">
        <f t="shared" si="5"/>
        <v>4</v>
      </c>
      <c r="P6" s="15">
        <v>338.99099999999999</v>
      </c>
      <c r="Q6" s="40">
        <f t="shared" si="6"/>
        <v>7.6099413165907182E-2</v>
      </c>
      <c r="R6" s="42">
        <f t="shared" si="7"/>
        <v>4</v>
      </c>
      <c r="S6" s="41">
        <f t="shared" si="8"/>
        <v>2</v>
      </c>
      <c r="T6" s="15">
        <f>604.656+M6</f>
        <v>3698.5369999999998</v>
      </c>
      <c r="U6" s="40">
        <f t="shared" si="9"/>
        <v>0.83027719105343456</v>
      </c>
      <c r="V6" s="41">
        <f t="shared" si="10"/>
        <v>4</v>
      </c>
      <c r="W6" s="15">
        <v>3300.3150000000001</v>
      </c>
      <c r="X6" s="39">
        <v>314.87799999999999</v>
      </c>
      <c r="Y6" s="40">
        <f t="shared" si="11"/>
        <v>7.0686333911090624E-2</v>
      </c>
      <c r="Z6" s="41">
        <f t="shared" si="12"/>
        <v>2</v>
      </c>
      <c r="AA6" s="57">
        <f t="shared" si="13"/>
        <v>3.3333333333333335</v>
      </c>
      <c r="AB6" s="60">
        <f t="shared" si="14"/>
        <v>3</v>
      </c>
      <c r="AC6" s="58">
        <v>4</v>
      </c>
      <c r="AD6" s="59">
        <f t="shared" si="15"/>
        <v>12</v>
      </c>
      <c r="AE6" s="60">
        <f t="shared" si="16"/>
        <v>4</v>
      </c>
      <c r="AF6" s="65">
        <v>4</v>
      </c>
      <c r="AG6" s="23">
        <v>2</v>
      </c>
      <c r="AH6" s="23">
        <v>6</v>
      </c>
      <c r="AI6" s="23">
        <f t="shared" si="17"/>
        <v>12</v>
      </c>
      <c r="AJ6" s="94">
        <f t="shared" si="18"/>
        <v>3</v>
      </c>
    </row>
    <row r="7" spans="1:36" ht="15" x14ac:dyDescent="0.2">
      <c r="A7" s="18">
        <v>6</v>
      </c>
      <c r="B7" s="47" t="s">
        <v>44</v>
      </c>
      <c r="C7" s="15">
        <v>15254.96</v>
      </c>
      <c r="D7" s="39">
        <v>4533.4790000000003</v>
      </c>
      <c r="E7" s="39">
        <v>4403.652</v>
      </c>
      <c r="F7" s="39">
        <v>39.305999999999997</v>
      </c>
      <c r="G7" s="39">
        <v>70</v>
      </c>
      <c r="H7" s="40">
        <f t="shared" si="0"/>
        <v>0.2886701767818467</v>
      </c>
      <c r="I7" s="41">
        <f t="shared" si="1"/>
        <v>3</v>
      </c>
      <c r="J7" s="15">
        <v>1793.902</v>
      </c>
      <c r="K7" s="40">
        <f t="shared" si="2"/>
        <v>0.4073668854850474</v>
      </c>
      <c r="L7" s="41">
        <f t="shared" si="3"/>
        <v>4</v>
      </c>
      <c r="M7" s="15">
        <v>1620.4559999999999</v>
      </c>
      <c r="N7" s="40">
        <f t="shared" si="4"/>
        <v>0.36798003111962524</v>
      </c>
      <c r="O7" s="53">
        <f t="shared" si="5"/>
        <v>3</v>
      </c>
      <c r="P7" s="15">
        <v>170.72</v>
      </c>
      <c r="Q7" s="40">
        <f t="shared" si="6"/>
        <v>3.8767822707153066E-2</v>
      </c>
      <c r="R7" s="42">
        <f t="shared" si="7"/>
        <v>2</v>
      </c>
      <c r="S7" s="41">
        <f t="shared" si="8"/>
        <v>1</v>
      </c>
      <c r="T7" s="15">
        <f>853.031+M7</f>
        <v>2473.4870000000001</v>
      </c>
      <c r="U7" s="40">
        <f t="shared" si="9"/>
        <v>0.56168993371864995</v>
      </c>
      <c r="V7" s="41">
        <f t="shared" si="10"/>
        <v>3</v>
      </c>
      <c r="W7" s="15">
        <v>2789.2449999999999</v>
      </c>
      <c r="X7" s="39">
        <v>2023.6759999999999</v>
      </c>
      <c r="Y7" s="40">
        <f t="shared" si="11"/>
        <v>0.45954494133505552</v>
      </c>
      <c r="Z7" s="41">
        <f t="shared" si="12"/>
        <v>4</v>
      </c>
      <c r="AA7" s="57">
        <f t="shared" si="13"/>
        <v>3.1666666666666665</v>
      </c>
      <c r="AB7" s="60">
        <f t="shared" si="14"/>
        <v>3</v>
      </c>
      <c r="AC7" s="58">
        <v>1</v>
      </c>
      <c r="AD7" s="59">
        <f t="shared" si="15"/>
        <v>3</v>
      </c>
      <c r="AE7" s="60">
        <f t="shared" si="16"/>
        <v>2</v>
      </c>
      <c r="AF7" s="63">
        <v>2</v>
      </c>
      <c r="AG7" s="23">
        <v>2</v>
      </c>
      <c r="AH7" s="23">
        <v>5</v>
      </c>
      <c r="AI7" s="23">
        <f t="shared" si="17"/>
        <v>10</v>
      </c>
      <c r="AJ7" s="96">
        <f t="shared" si="18"/>
        <v>2</v>
      </c>
    </row>
    <row r="8" spans="1:36" ht="15" x14ac:dyDescent="0.2">
      <c r="A8" s="18">
        <v>7</v>
      </c>
      <c r="B8" s="47" t="s">
        <v>45</v>
      </c>
      <c r="C8" s="15">
        <v>7544.51</v>
      </c>
      <c r="D8" s="39">
        <f>5458.694+1032.261</f>
        <v>6490.9549999999999</v>
      </c>
      <c r="E8" s="39">
        <f>5363.368+759.835</f>
        <v>6123.2030000000004</v>
      </c>
      <c r="F8" s="39">
        <v>48.709000000000003</v>
      </c>
      <c r="G8" s="39">
        <v>69</v>
      </c>
      <c r="H8" s="40">
        <f t="shared" si="0"/>
        <v>0.81161042930554805</v>
      </c>
      <c r="I8" s="41">
        <f t="shared" si="1"/>
        <v>4</v>
      </c>
      <c r="J8" s="15">
        <v>5.8440000000000003</v>
      </c>
      <c r="K8" s="43">
        <f t="shared" si="2"/>
        <v>9.5440245897449418E-4</v>
      </c>
      <c r="L8" s="41">
        <f t="shared" si="3"/>
        <v>1</v>
      </c>
      <c r="M8" s="15">
        <f>5059.394+759.017</f>
        <v>5818.4110000000001</v>
      </c>
      <c r="N8" s="40">
        <f t="shared" si="4"/>
        <v>0.95022343698224598</v>
      </c>
      <c r="O8" s="53">
        <f t="shared" si="5"/>
        <v>4</v>
      </c>
      <c r="P8" s="15">
        <v>52.941000000000003</v>
      </c>
      <c r="Q8" s="40">
        <f t="shared" si="6"/>
        <v>8.6459651917468686E-3</v>
      </c>
      <c r="R8" s="42">
        <f t="shared" si="7"/>
        <v>2</v>
      </c>
      <c r="S8" s="41">
        <f t="shared" si="8"/>
        <v>1</v>
      </c>
      <c r="T8" s="15">
        <f>M8+114.681+0.004</f>
        <v>5933.0959999999995</v>
      </c>
      <c r="U8" s="40">
        <f t="shared" si="9"/>
        <v>0.96895301364334963</v>
      </c>
      <c r="V8" s="41">
        <f t="shared" si="10"/>
        <v>4</v>
      </c>
      <c r="W8" s="15">
        <v>5154.2719999999999</v>
      </c>
      <c r="X8" s="39">
        <v>1830.9960000000001</v>
      </c>
      <c r="Y8" s="40">
        <f t="shared" si="11"/>
        <v>0.29902585297270073</v>
      </c>
      <c r="Z8" s="41">
        <f t="shared" si="12"/>
        <v>4</v>
      </c>
      <c r="AA8" s="57">
        <f t="shared" si="13"/>
        <v>3.1666666666666665</v>
      </c>
      <c r="AB8" s="60">
        <f t="shared" si="14"/>
        <v>3</v>
      </c>
      <c r="AC8" s="58">
        <v>3</v>
      </c>
      <c r="AD8" s="59">
        <f t="shared" si="15"/>
        <v>9</v>
      </c>
      <c r="AE8" s="60">
        <f t="shared" si="16"/>
        <v>3</v>
      </c>
      <c r="AF8" s="64">
        <v>3</v>
      </c>
      <c r="AG8" s="23">
        <v>2</v>
      </c>
      <c r="AH8" s="23">
        <v>6</v>
      </c>
      <c r="AI8" s="23">
        <f t="shared" si="17"/>
        <v>12</v>
      </c>
      <c r="AJ8" s="94">
        <f t="shared" si="18"/>
        <v>3</v>
      </c>
    </row>
    <row r="9" spans="1:36" ht="15" x14ac:dyDescent="0.2">
      <c r="A9" s="18">
        <v>8</v>
      </c>
      <c r="B9" s="47" t="s">
        <v>46</v>
      </c>
      <c r="C9" s="15">
        <v>3799.2</v>
      </c>
      <c r="D9" s="39">
        <f>1226.63+2004.323</f>
        <v>3230.9530000000004</v>
      </c>
      <c r="E9" s="39">
        <f>1202.96+1271.378</f>
        <v>2474.3379999999997</v>
      </c>
      <c r="F9" s="39">
        <v>18.247</v>
      </c>
      <c r="G9" s="39">
        <v>71</v>
      </c>
      <c r="H9" s="40">
        <f t="shared" si="0"/>
        <v>0.65127869025057905</v>
      </c>
      <c r="I9" s="41">
        <f t="shared" si="1"/>
        <v>4</v>
      </c>
      <c r="J9" s="15">
        <f>12.398+0.89</f>
        <v>13.288</v>
      </c>
      <c r="K9" s="40">
        <f t="shared" si="2"/>
        <v>5.3703253152964561E-3</v>
      </c>
      <c r="L9" s="41">
        <f t="shared" si="3"/>
        <v>1</v>
      </c>
      <c r="M9" s="15">
        <f>941.456+1148.167</f>
        <v>2089.623</v>
      </c>
      <c r="N9" s="40">
        <f t="shared" si="4"/>
        <v>0.84451800845317015</v>
      </c>
      <c r="O9" s="53">
        <f t="shared" si="5"/>
        <v>4</v>
      </c>
      <c r="P9" s="15">
        <f>91.405+25.856</f>
        <v>117.261</v>
      </c>
      <c r="Q9" s="40">
        <f t="shared" si="6"/>
        <v>4.7390857675871284E-2</v>
      </c>
      <c r="R9" s="42">
        <f t="shared" si="7"/>
        <v>2</v>
      </c>
      <c r="S9" s="41">
        <f t="shared" si="8"/>
        <v>1</v>
      </c>
      <c r="T9" s="15">
        <f>49.884+M9+16.804</f>
        <v>2156.3110000000001</v>
      </c>
      <c r="U9" s="40">
        <f t="shared" si="9"/>
        <v>0.8714698638585352</v>
      </c>
      <c r="V9" s="41">
        <f t="shared" si="10"/>
        <v>4</v>
      </c>
      <c r="W9" s="15">
        <v>1169.921</v>
      </c>
      <c r="X9" s="39">
        <v>301.07299999999998</v>
      </c>
      <c r="Y9" s="40">
        <f t="shared" si="11"/>
        <v>0.12167820241211993</v>
      </c>
      <c r="Z9" s="41">
        <f t="shared" si="12"/>
        <v>2</v>
      </c>
      <c r="AA9" s="57">
        <f t="shared" si="13"/>
        <v>2.8333333333333335</v>
      </c>
      <c r="AB9" s="60">
        <f t="shared" si="14"/>
        <v>3</v>
      </c>
      <c r="AC9" s="58">
        <v>0</v>
      </c>
      <c r="AD9" s="59">
        <f t="shared" si="15"/>
        <v>0</v>
      </c>
      <c r="AE9" s="60">
        <f t="shared" si="16"/>
        <v>1</v>
      </c>
      <c r="AF9" s="62">
        <v>0</v>
      </c>
      <c r="AG9" s="23">
        <v>2</v>
      </c>
      <c r="AH9" s="23">
        <v>5</v>
      </c>
      <c r="AI9" s="23">
        <f t="shared" si="17"/>
        <v>10</v>
      </c>
      <c r="AJ9" s="96">
        <f t="shared" si="18"/>
        <v>2</v>
      </c>
    </row>
    <row r="10" spans="1:36" s="5" customFormat="1" ht="15" x14ac:dyDescent="0.2">
      <c r="A10" s="18">
        <v>9</v>
      </c>
      <c r="B10" s="47" t="s">
        <v>47</v>
      </c>
      <c r="C10" s="15">
        <v>13032.67</v>
      </c>
      <c r="D10" s="39">
        <v>3043.2350000000001</v>
      </c>
      <c r="E10" s="39">
        <v>2962.317</v>
      </c>
      <c r="F10" s="39">
        <v>0</v>
      </c>
      <c r="G10" s="39">
        <v>65</v>
      </c>
      <c r="H10" s="40">
        <f t="shared" si="0"/>
        <v>0.22729931779136586</v>
      </c>
      <c r="I10" s="41">
        <f t="shared" si="1"/>
        <v>3</v>
      </c>
      <c r="J10" s="15">
        <v>691.61400000000003</v>
      </c>
      <c r="K10" s="40">
        <f t="shared" si="2"/>
        <v>0.23347062451452699</v>
      </c>
      <c r="L10" s="41">
        <f t="shared" si="3"/>
        <v>3</v>
      </c>
      <c r="M10" s="15">
        <v>1137.4079999999999</v>
      </c>
      <c r="N10" s="40">
        <f t="shared" si="4"/>
        <v>0.38395890784139575</v>
      </c>
      <c r="O10" s="53">
        <f t="shared" si="5"/>
        <v>3</v>
      </c>
      <c r="P10" s="15">
        <v>501.49799999999999</v>
      </c>
      <c r="Q10" s="40">
        <f t="shared" si="6"/>
        <v>0.16929248287742332</v>
      </c>
      <c r="R10" s="42">
        <f t="shared" si="7"/>
        <v>6</v>
      </c>
      <c r="S10" s="41">
        <f t="shared" si="8"/>
        <v>3</v>
      </c>
      <c r="T10" s="15">
        <f>651.875+M10</f>
        <v>1789.2829999999999</v>
      </c>
      <c r="U10" s="40">
        <f t="shared" si="9"/>
        <v>0.60401469525374896</v>
      </c>
      <c r="V10" s="41">
        <f t="shared" si="10"/>
        <v>3</v>
      </c>
      <c r="W10" s="15">
        <v>1429.96</v>
      </c>
      <c r="X10" s="39">
        <v>947.75</v>
      </c>
      <c r="Y10" s="40">
        <f t="shared" si="11"/>
        <v>0.31993537491092278</v>
      </c>
      <c r="Z10" s="41">
        <f t="shared" si="12"/>
        <v>4</v>
      </c>
      <c r="AA10" s="57">
        <f t="shared" si="13"/>
        <v>3.6666666666666665</v>
      </c>
      <c r="AB10" s="60">
        <f t="shared" si="14"/>
        <v>4</v>
      </c>
      <c r="AC10" s="58">
        <v>3</v>
      </c>
      <c r="AD10" s="59">
        <f t="shared" si="15"/>
        <v>12</v>
      </c>
      <c r="AE10" s="60">
        <f t="shared" si="16"/>
        <v>4</v>
      </c>
      <c r="AF10" s="65">
        <v>4</v>
      </c>
      <c r="AG10" s="23">
        <v>2</v>
      </c>
      <c r="AH10" s="23">
        <v>6</v>
      </c>
      <c r="AI10" s="23">
        <f t="shared" si="17"/>
        <v>12</v>
      </c>
      <c r="AJ10" s="94">
        <f t="shared" si="18"/>
        <v>3</v>
      </c>
    </row>
    <row r="11" spans="1:36" ht="15" x14ac:dyDescent="0.2">
      <c r="A11" s="18">
        <v>10</v>
      </c>
      <c r="B11" s="47" t="s">
        <v>48</v>
      </c>
      <c r="C11" s="15">
        <v>10485.299999999999</v>
      </c>
      <c r="D11" s="39">
        <v>1960.377</v>
      </c>
      <c r="E11" s="39">
        <v>1923.1890000000001</v>
      </c>
      <c r="F11" s="39">
        <v>2.9609999999999999</v>
      </c>
      <c r="G11" s="39">
        <v>66</v>
      </c>
      <c r="H11" s="40">
        <f t="shared" si="0"/>
        <v>0.18341764184143516</v>
      </c>
      <c r="I11" s="41">
        <f t="shared" si="1"/>
        <v>2</v>
      </c>
      <c r="J11" s="15">
        <v>703.471</v>
      </c>
      <c r="K11" s="40">
        <f t="shared" si="2"/>
        <v>0.36578360213166777</v>
      </c>
      <c r="L11" s="41">
        <f t="shared" si="3"/>
        <v>4</v>
      </c>
      <c r="M11" s="15">
        <v>193.58699999999999</v>
      </c>
      <c r="N11" s="40">
        <f t="shared" si="4"/>
        <v>0.10065937357170823</v>
      </c>
      <c r="O11" s="53">
        <f t="shared" si="5"/>
        <v>2</v>
      </c>
      <c r="P11" s="15">
        <v>817.57600000000002</v>
      </c>
      <c r="Q11" s="40">
        <f t="shared" si="6"/>
        <v>0.42511474431270146</v>
      </c>
      <c r="R11" s="42">
        <f t="shared" si="7"/>
        <v>8</v>
      </c>
      <c r="S11" s="41">
        <f t="shared" si="8"/>
        <v>4</v>
      </c>
      <c r="T11" s="15">
        <f>715.49+M11</f>
        <v>909.077</v>
      </c>
      <c r="U11" s="40">
        <f t="shared" si="9"/>
        <v>0.47269249148159642</v>
      </c>
      <c r="V11" s="41">
        <f t="shared" si="10"/>
        <v>2</v>
      </c>
      <c r="W11" s="15">
        <v>894.13900000000001</v>
      </c>
      <c r="X11" s="39">
        <v>532.31899999999996</v>
      </c>
      <c r="Y11" s="40">
        <f t="shared" si="11"/>
        <v>0.27678974869344614</v>
      </c>
      <c r="Z11" s="41">
        <f t="shared" si="12"/>
        <v>4</v>
      </c>
      <c r="AA11" s="57">
        <f t="shared" si="13"/>
        <v>3.6666666666666665</v>
      </c>
      <c r="AB11" s="60">
        <f t="shared" si="14"/>
        <v>4</v>
      </c>
      <c r="AC11" s="58">
        <v>1</v>
      </c>
      <c r="AD11" s="59">
        <f t="shared" si="15"/>
        <v>4</v>
      </c>
      <c r="AE11" s="60">
        <f t="shared" si="16"/>
        <v>2</v>
      </c>
      <c r="AF11" s="63">
        <v>2</v>
      </c>
      <c r="AG11" s="23">
        <v>2</v>
      </c>
      <c r="AH11" s="23">
        <v>5</v>
      </c>
      <c r="AI11" s="23">
        <f t="shared" si="17"/>
        <v>10</v>
      </c>
      <c r="AJ11" s="96">
        <f t="shared" si="18"/>
        <v>2</v>
      </c>
    </row>
    <row r="12" spans="1:36" ht="15" x14ac:dyDescent="0.2">
      <c r="A12" s="18">
        <v>11</v>
      </c>
      <c r="B12" s="47" t="s">
        <v>49</v>
      </c>
      <c r="C12" s="15">
        <v>15990.05</v>
      </c>
      <c r="D12" s="39">
        <v>4939.9030000000002</v>
      </c>
      <c r="E12" s="39">
        <v>4867.3379999999997</v>
      </c>
      <c r="F12" s="39">
        <v>8.5060000000000002</v>
      </c>
      <c r="G12" s="39">
        <v>70</v>
      </c>
      <c r="H12" s="40">
        <f t="shared" si="0"/>
        <v>0.3043979224580286</v>
      </c>
      <c r="I12" s="41">
        <f t="shared" si="1"/>
        <v>4</v>
      </c>
      <c r="J12" s="15">
        <v>1854.19</v>
      </c>
      <c r="K12" s="40">
        <f t="shared" si="2"/>
        <v>0.380945395614605</v>
      </c>
      <c r="L12" s="41">
        <f t="shared" si="3"/>
        <v>4</v>
      </c>
      <c r="M12" s="15">
        <v>1603.7940000000001</v>
      </c>
      <c r="N12" s="40">
        <f t="shared" si="4"/>
        <v>0.32950125920985973</v>
      </c>
      <c r="O12" s="53">
        <f t="shared" si="5"/>
        <v>3</v>
      </c>
      <c r="P12" s="15">
        <v>304.80700000000002</v>
      </c>
      <c r="Q12" s="40">
        <f t="shared" si="6"/>
        <v>6.2622936808579971E-2</v>
      </c>
      <c r="R12" s="42">
        <f t="shared" si="7"/>
        <v>4</v>
      </c>
      <c r="S12" s="41">
        <f t="shared" si="8"/>
        <v>2</v>
      </c>
      <c r="T12" s="56">
        <v>1098.9010000000001</v>
      </c>
      <c r="U12" s="40">
        <f t="shared" si="9"/>
        <v>0.22577043139391595</v>
      </c>
      <c r="V12" s="41">
        <f t="shared" si="10"/>
        <v>2</v>
      </c>
      <c r="W12" s="15">
        <v>3590.5189999999998</v>
      </c>
      <c r="X12" s="39">
        <v>1199.6489999999999</v>
      </c>
      <c r="Y12" s="40">
        <f t="shared" si="11"/>
        <v>0.24646921993089446</v>
      </c>
      <c r="Z12" s="41">
        <f t="shared" si="12"/>
        <v>3</v>
      </c>
      <c r="AA12" s="57">
        <f t="shared" si="13"/>
        <v>3.3333333333333335</v>
      </c>
      <c r="AB12" s="60">
        <f t="shared" si="14"/>
        <v>3</v>
      </c>
      <c r="AC12" s="58">
        <v>2</v>
      </c>
      <c r="AD12" s="59">
        <f t="shared" si="15"/>
        <v>6</v>
      </c>
      <c r="AE12" s="60">
        <f t="shared" si="16"/>
        <v>3</v>
      </c>
      <c r="AF12" s="64">
        <v>3</v>
      </c>
      <c r="AG12" s="23">
        <v>2</v>
      </c>
      <c r="AH12" s="23">
        <v>5</v>
      </c>
      <c r="AI12" s="23">
        <f t="shared" si="17"/>
        <v>10</v>
      </c>
      <c r="AJ12" s="96">
        <f t="shared" si="18"/>
        <v>2</v>
      </c>
    </row>
    <row r="13" spans="1:36" ht="15" x14ac:dyDescent="0.2">
      <c r="A13" s="18">
        <v>12</v>
      </c>
      <c r="B13" s="47" t="s">
        <v>50</v>
      </c>
      <c r="C13" s="15">
        <v>14508.82</v>
      </c>
      <c r="D13" s="39">
        <v>2204.8339999999998</v>
      </c>
      <c r="E13" s="39">
        <v>2136.7280000000001</v>
      </c>
      <c r="F13" s="39">
        <v>2.9550000000000001</v>
      </c>
      <c r="G13" s="39">
        <v>73</v>
      </c>
      <c r="H13" s="40">
        <f t="shared" si="0"/>
        <v>0.14727097034769196</v>
      </c>
      <c r="I13" s="41">
        <f t="shared" si="1"/>
        <v>2</v>
      </c>
      <c r="J13" s="15">
        <v>1229.4069999999999</v>
      </c>
      <c r="K13" s="40">
        <f t="shared" si="2"/>
        <v>0.57536897536794573</v>
      </c>
      <c r="L13" s="41">
        <f t="shared" si="3"/>
        <v>4</v>
      </c>
      <c r="M13" s="15">
        <v>262.37700000000001</v>
      </c>
      <c r="N13" s="40">
        <f t="shared" si="4"/>
        <v>0.1227938230790255</v>
      </c>
      <c r="O13" s="53">
        <f t="shared" si="5"/>
        <v>2</v>
      </c>
      <c r="P13" s="15">
        <v>318.85599999999999</v>
      </c>
      <c r="Q13" s="40">
        <f t="shared" si="6"/>
        <v>0.14922629366021317</v>
      </c>
      <c r="R13" s="42">
        <f t="shared" si="7"/>
        <v>4</v>
      </c>
      <c r="S13" s="41">
        <f t="shared" si="8"/>
        <v>2</v>
      </c>
      <c r="T13" s="15">
        <f>337.539+M13</f>
        <v>599.91599999999994</v>
      </c>
      <c r="U13" s="40">
        <f t="shared" si="9"/>
        <v>0.28076385950855698</v>
      </c>
      <c r="V13" s="41">
        <f t="shared" si="10"/>
        <v>2</v>
      </c>
      <c r="W13" s="15">
        <v>1095.9649999999999</v>
      </c>
      <c r="X13" s="39">
        <v>477.05500000000001</v>
      </c>
      <c r="Y13" s="40">
        <f t="shared" si="11"/>
        <v>0.22326426199310348</v>
      </c>
      <c r="Z13" s="41">
        <f t="shared" si="12"/>
        <v>3</v>
      </c>
      <c r="AA13" s="57">
        <f t="shared" si="13"/>
        <v>2.8333333333333335</v>
      </c>
      <c r="AB13" s="60">
        <f t="shared" si="14"/>
        <v>3</v>
      </c>
      <c r="AC13" s="58">
        <v>2</v>
      </c>
      <c r="AD13" s="59">
        <f t="shared" si="15"/>
        <v>6</v>
      </c>
      <c r="AE13" s="60">
        <f t="shared" si="16"/>
        <v>3</v>
      </c>
      <c r="AF13" s="64">
        <v>3</v>
      </c>
      <c r="AG13" s="23">
        <v>2</v>
      </c>
      <c r="AH13" s="23">
        <v>5</v>
      </c>
      <c r="AI13" s="23">
        <f t="shared" si="17"/>
        <v>10</v>
      </c>
      <c r="AJ13" s="96">
        <f t="shared" si="18"/>
        <v>2</v>
      </c>
    </row>
    <row r="14" spans="1:36" ht="15" x14ac:dyDescent="0.2">
      <c r="A14" s="18">
        <v>13</v>
      </c>
      <c r="B14" s="47" t="s">
        <v>51</v>
      </c>
      <c r="C14" s="15">
        <v>4316.6400000000003</v>
      </c>
      <c r="D14" s="39">
        <f>2488.881+507.235</f>
        <v>2996.116</v>
      </c>
      <c r="E14" s="39">
        <f>2455.663+276.902</f>
        <v>2732.5650000000001</v>
      </c>
      <c r="F14" s="39">
        <v>0</v>
      </c>
      <c r="G14" s="39">
        <v>80</v>
      </c>
      <c r="H14" s="40">
        <f t="shared" si="0"/>
        <v>0.63303055154008669</v>
      </c>
      <c r="I14" s="41">
        <f t="shared" si="1"/>
        <v>4</v>
      </c>
      <c r="J14" s="15">
        <v>32.634</v>
      </c>
      <c r="K14" s="40">
        <f t="shared" si="2"/>
        <v>1.1942625335536392E-2</v>
      </c>
      <c r="L14" s="41">
        <f t="shared" si="3"/>
        <v>1</v>
      </c>
      <c r="M14" s="15">
        <f>1780.153+261.677</f>
        <v>2041.83</v>
      </c>
      <c r="N14" s="40">
        <f t="shared" si="4"/>
        <v>0.74722101761531745</v>
      </c>
      <c r="O14" s="53">
        <f t="shared" si="5"/>
        <v>4</v>
      </c>
      <c r="P14" s="15">
        <f>210.954+2.162</f>
        <v>213.11600000000001</v>
      </c>
      <c r="Q14" s="40">
        <f t="shared" si="6"/>
        <v>7.7991191426370468E-2</v>
      </c>
      <c r="R14" s="42">
        <f t="shared" si="7"/>
        <v>4</v>
      </c>
      <c r="S14" s="41">
        <f t="shared" si="8"/>
        <v>2</v>
      </c>
      <c r="T14" s="15">
        <f>421.864+M14+13.06</f>
        <v>2476.7539999999999</v>
      </c>
      <c r="U14" s="40">
        <f t="shared" si="9"/>
        <v>0.90638429460964332</v>
      </c>
      <c r="V14" s="41">
        <f t="shared" si="10"/>
        <v>4</v>
      </c>
      <c r="W14" s="15">
        <v>2341.2510000000002</v>
      </c>
      <c r="X14" s="39">
        <v>825.94899999999996</v>
      </c>
      <c r="Y14" s="40">
        <f t="shared" si="11"/>
        <v>0.30226142836492453</v>
      </c>
      <c r="Z14" s="41">
        <f t="shared" si="12"/>
        <v>4</v>
      </c>
      <c r="AA14" s="57">
        <f t="shared" si="13"/>
        <v>3.5</v>
      </c>
      <c r="AB14" s="60">
        <f t="shared" si="14"/>
        <v>4</v>
      </c>
      <c r="AC14" s="58">
        <v>3</v>
      </c>
      <c r="AD14" s="59">
        <f t="shared" si="15"/>
        <v>12</v>
      </c>
      <c r="AE14" s="60">
        <f t="shared" si="16"/>
        <v>4</v>
      </c>
      <c r="AF14" s="65">
        <v>4</v>
      </c>
      <c r="AG14" s="23">
        <v>2</v>
      </c>
      <c r="AH14" s="23">
        <v>6</v>
      </c>
      <c r="AI14" s="23">
        <f t="shared" si="17"/>
        <v>12</v>
      </c>
      <c r="AJ14" s="94">
        <f t="shared" si="18"/>
        <v>3</v>
      </c>
    </row>
    <row r="15" spans="1:36" ht="15" x14ac:dyDescent="0.2">
      <c r="A15" s="18">
        <v>14</v>
      </c>
      <c r="B15" s="47" t="s">
        <v>52</v>
      </c>
      <c r="C15" s="15">
        <v>9427.44</v>
      </c>
      <c r="D15" s="39">
        <v>2722.3919999999998</v>
      </c>
      <c r="E15" s="39">
        <v>2667.7190000000001</v>
      </c>
      <c r="F15" s="39">
        <v>15.359</v>
      </c>
      <c r="G15" s="39">
        <v>67</v>
      </c>
      <c r="H15" s="40">
        <f t="shared" si="0"/>
        <v>0.28297385080149012</v>
      </c>
      <c r="I15" s="41">
        <f t="shared" si="1"/>
        <v>3</v>
      </c>
      <c r="J15" s="15">
        <v>641.01900000000001</v>
      </c>
      <c r="K15" s="40">
        <f t="shared" si="2"/>
        <v>0.24028730162359679</v>
      </c>
      <c r="L15" s="41">
        <f t="shared" si="3"/>
        <v>3</v>
      </c>
      <c r="M15" s="15">
        <v>1279.624</v>
      </c>
      <c r="N15" s="40">
        <f t="shared" si="4"/>
        <v>0.47966971034055683</v>
      </c>
      <c r="O15" s="53">
        <f t="shared" si="5"/>
        <v>4</v>
      </c>
      <c r="P15" s="15">
        <v>203.19800000000001</v>
      </c>
      <c r="Q15" s="40">
        <f t="shared" si="6"/>
        <v>7.6169191732712485E-2</v>
      </c>
      <c r="R15" s="42">
        <f t="shared" si="7"/>
        <v>4</v>
      </c>
      <c r="S15" s="41">
        <f t="shared" si="8"/>
        <v>2</v>
      </c>
      <c r="T15" s="15">
        <f>523.194+M15</f>
        <v>1802.818</v>
      </c>
      <c r="U15" s="40">
        <f t="shared" si="9"/>
        <v>0.67579006634506855</v>
      </c>
      <c r="V15" s="41">
        <f t="shared" si="10"/>
        <v>3</v>
      </c>
      <c r="W15" s="15">
        <v>1460.7170000000001</v>
      </c>
      <c r="X15" s="39">
        <v>500.77499999999998</v>
      </c>
      <c r="Y15" s="40">
        <f t="shared" si="11"/>
        <v>0.18771654735749904</v>
      </c>
      <c r="Z15" s="41">
        <f t="shared" si="12"/>
        <v>3</v>
      </c>
      <c r="AA15" s="57">
        <f t="shared" si="13"/>
        <v>3.3333333333333335</v>
      </c>
      <c r="AB15" s="60">
        <f t="shared" si="14"/>
        <v>3</v>
      </c>
      <c r="AC15" s="58">
        <v>2</v>
      </c>
      <c r="AD15" s="59">
        <f t="shared" si="15"/>
        <v>6</v>
      </c>
      <c r="AE15" s="60">
        <f t="shared" si="16"/>
        <v>3</v>
      </c>
      <c r="AF15" s="64">
        <v>3</v>
      </c>
      <c r="AG15" s="23">
        <v>2</v>
      </c>
      <c r="AH15" s="23">
        <v>5</v>
      </c>
      <c r="AI15" s="23">
        <f t="shared" si="17"/>
        <v>10</v>
      </c>
      <c r="AJ15" s="96">
        <f t="shared" si="18"/>
        <v>2</v>
      </c>
    </row>
    <row r="16" spans="1:36" ht="15" x14ac:dyDescent="0.2">
      <c r="A16" s="18">
        <v>15</v>
      </c>
      <c r="B16" s="47" t="s">
        <v>53</v>
      </c>
      <c r="C16" s="15">
        <v>4712.68</v>
      </c>
      <c r="D16" s="39">
        <v>997.83699999999999</v>
      </c>
      <c r="E16" s="39">
        <v>937.44</v>
      </c>
      <c r="F16" s="39">
        <v>5.3680000000000003</v>
      </c>
      <c r="G16" s="39">
        <v>73</v>
      </c>
      <c r="H16" s="40">
        <f t="shared" si="0"/>
        <v>0.19891866199275146</v>
      </c>
      <c r="I16" s="41">
        <f t="shared" si="1"/>
        <v>2</v>
      </c>
      <c r="J16" s="15">
        <v>311.97500000000002</v>
      </c>
      <c r="K16" s="40">
        <f t="shared" si="2"/>
        <v>0.33279463218979349</v>
      </c>
      <c r="L16" s="41">
        <f t="shared" si="3"/>
        <v>4</v>
      </c>
      <c r="M16" s="15">
        <v>253.91300000000001</v>
      </c>
      <c r="N16" s="40">
        <f t="shared" si="4"/>
        <v>0.2708578682369005</v>
      </c>
      <c r="O16" s="53">
        <f t="shared" si="5"/>
        <v>3</v>
      </c>
      <c r="P16" s="15">
        <v>194.77</v>
      </c>
      <c r="Q16" s="40">
        <f t="shared" si="6"/>
        <v>0.2077679638163509</v>
      </c>
      <c r="R16" s="42">
        <f t="shared" si="7"/>
        <v>6</v>
      </c>
      <c r="S16" s="41">
        <f t="shared" si="8"/>
        <v>3</v>
      </c>
      <c r="T16" s="15">
        <f>194.904+M16</f>
        <v>448.81700000000001</v>
      </c>
      <c r="U16" s="40">
        <f t="shared" si="9"/>
        <v>0.47876877453490357</v>
      </c>
      <c r="V16" s="41">
        <f t="shared" si="10"/>
        <v>2</v>
      </c>
      <c r="W16" s="15">
        <v>491.40499999999997</v>
      </c>
      <c r="X16" s="39">
        <v>53.585000000000001</v>
      </c>
      <c r="Y16" s="40">
        <f t="shared" si="11"/>
        <v>5.7160991636798088E-2</v>
      </c>
      <c r="Z16" s="41">
        <f t="shared" si="12"/>
        <v>2</v>
      </c>
      <c r="AA16" s="57">
        <f t="shared" si="13"/>
        <v>3.1666666666666665</v>
      </c>
      <c r="AB16" s="60">
        <f t="shared" si="14"/>
        <v>3</v>
      </c>
      <c r="AC16" s="58">
        <v>4</v>
      </c>
      <c r="AD16" s="59">
        <f t="shared" si="15"/>
        <v>12</v>
      </c>
      <c r="AE16" s="60">
        <f t="shared" si="16"/>
        <v>4</v>
      </c>
      <c r="AF16" s="65">
        <v>4</v>
      </c>
      <c r="AG16" s="23">
        <v>2</v>
      </c>
      <c r="AH16" s="23">
        <v>6</v>
      </c>
      <c r="AI16" s="23">
        <f t="shared" si="17"/>
        <v>12</v>
      </c>
      <c r="AJ16" s="94">
        <f t="shared" si="18"/>
        <v>3</v>
      </c>
    </row>
    <row r="17" spans="1:36" ht="15" x14ac:dyDescent="0.2">
      <c r="A17" s="18">
        <v>16</v>
      </c>
      <c r="B17" s="47" t="s">
        <v>54</v>
      </c>
      <c r="C17" s="15">
        <v>18653.759999999998</v>
      </c>
      <c r="D17" s="39">
        <v>10650.651</v>
      </c>
      <c r="E17" s="39">
        <v>10344.918</v>
      </c>
      <c r="F17" s="39">
        <v>0</v>
      </c>
      <c r="G17" s="39">
        <v>56</v>
      </c>
      <c r="H17" s="40">
        <f t="shared" si="0"/>
        <v>0.55457548504966292</v>
      </c>
      <c r="I17" s="41">
        <f t="shared" si="1"/>
        <v>4</v>
      </c>
      <c r="J17" s="15">
        <v>201.32300000000001</v>
      </c>
      <c r="K17" s="40">
        <f t="shared" si="2"/>
        <v>1.9461053243727985E-2</v>
      </c>
      <c r="L17" s="41">
        <f t="shared" si="3"/>
        <v>1</v>
      </c>
      <c r="M17" s="15">
        <v>8396.1200000000008</v>
      </c>
      <c r="N17" s="40">
        <f t="shared" si="4"/>
        <v>0.81161783979341362</v>
      </c>
      <c r="O17" s="53">
        <f t="shared" si="5"/>
        <v>4</v>
      </c>
      <c r="P17" s="15">
        <v>811.87400000000002</v>
      </c>
      <c r="Q17" s="40">
        <f t="shared" si="6"/>
        <v>7.8480467414048141E-2</v>
      </c>
      <c r="R17" s="42">
        <f t="shared" si="7"/>
        <v>4</v>
      </c>
      <c r="S17" s="41">
        <f t="shared" si="8"/>
        <v>2</v>
      </c>
      <c r="T17" s="15">
        <f>349.545+M17</f>
        <v>8745.6650000000009</v>
      </c>
      <c r="U17" s="40">
        <f t="shared" si="9"/>
        <v>0.84540689447707573</v>
      </c>
      <c r="V17" s="41">
        <f t="shared" si="10"/>
        <v>4</v>
      </c>
      <c r="W17" s="15">
        <v>9652.125</v>
      </c>
      <c r="X17" s="39">
        <v>1955.4159999999999</v>
      </c>
      <c r="Y17" s="40">
        <f t="shared" si="11"/>
        <v>0.18902189461530772</v>
      </c>
      <c r="Z17" s="41">
        <f t="shared" si="12"/>
        <v>3</v>
      </c>
      <c r="AA17" s="57">
        <f t="shared" si="13"/>
        <v>3.3333333333333335</v>
      </c>
      <c r="AB17" s="60">
        <f t="shared" si="14"/>
        <v>3</v>
      </c>
      <c r="AC17" s="58">
        <v>4</v>
      </c>
      <c r="AD17" s="59">
        <f t="shared" si="15"/>
        <v>12</v>
      </c>
      <c r="AE17" s="60">
        <f t="shared" si="16"/>
        <v>4</v>
      </c>
      <c r="AF17" s="65">
        <v>4</v>
      </c>
      <c r="AG17" s="23">
        <v>2</v>
      </c>
      <c r="AH17" s="23">
        <v>6</v>
      </c>
      <c r="AI17" s="23">
        <f t="shared" si="17"/>
        <v>12</v>
      </c>
      <c r="AJ17" s="94">
        <f t="shared" si="18"/>
        <v>3</v>
      </c>
    </row>
    <row r="18" spans="1:36" ht="15" x14ac:dyDescent="0.2">
      <c r="A18" s="18">
        <v>17</v>
      </c>
      <c r="B18" s="47" t="s">
        <v>55</v>
      </c>
      <c r="C18" s="15">
        <v>10455.64</v>
      </c>
      <c r="D18" s="39">
        <v>2571.8090000000002</v>
      </c>
      <c r="E18" s="39">
        <v>2501.6559999999999</v>
      </c>
      <c r="F18" s="39">
        <v>5.4290000000000003</v>
      </c>
      <c r="G18" s="39">
        <v>71</v>
      </c>
      <c r="H18" s="40">
        <f t="shared" si="0"/>
        <v>0.23926378490460651</v>
      </c>
      <c r="I18" s="41">
        <f t="shared" si="1"/>
        <v>3</v>
      </c>
      <c r="J18" s="15">
        <v>444.25</v>
      </c>
      <c r="K18" s="40">
        <f t="shared" si="2"/>
        <v>0.17758236943848396</v>
      </c>
      <c r="L18" s="41">
        <f t="shared" si="3"/>
        <v>3</v>
      </c>
      <c r="M18" s="15">
        <v>1181.454</v>
      </c>
      <c r="N18" s="40">
        <f t="shared" si="4"/>
        <v>0.47226876916730359</v>
      </c>
      <c r="O18" s="53">
        <f t="shared" si="5"/>
        <v>4</v>
      </c>
      <c r="P18" s="15">
        <v>493.86900000000003</v>
      </c>
      <c r="Q18" s="40">
        <f t="shared" si="6"/>
        <v>0.19741683109108529</v>
      </c>
      <c r="R18" s="42">
        <f t="shared" si="7"/>
        <v>6</v>
      </c>
      <c r="S18" s="41">
        <f t="shared" si="8"/>
        <v>3</v>
      </c>
      <c r="T18" s="15">
        <f>M18+527.451</f>
        <v>1708.905</v>
      </c>
      <c r="U18" s="40">
        <f t="shared" si="9"/>
        <v>0.68310950826172745</v>
      </c>
      <c r="V18" s="41">
        <f t="shared" si="10"/>
        <v>3</v>
      </c>
      <c r="W18" s="15">
        <v>1725.251</v>
      </c>
      <c r="X18" s="39">
        <v>27.994</v>
      </c>
      <c r="Y18" s="40">
        <f t="shared" si="11"/>
        <v>1.1190187619720697E-2</v>
      </c>
      <c r="Z18" s="41">
        <f t="shared" si="12"/>
        <v>1</v>
      </c>
      <c r="AA18" s="57">
        <f t="shared" si="13"/>
        <v>3.3333333333333335</v>
      </c>
      <c r="AB18" s="60">
        <f t="shared" si="14"/>
        <v>3</v>
      </c>
      <c r="AC18" s="58">
        <v>4</v>
      </c>
      <c r="AD18" s="59">
        <f t="shared" si="15"/>
        <v>12</v>
      </c>
      <c r="AE18" s="60">
        <f t="shared" si="16"/>
        <v>4</v>
      </c>
      <c r="AF18" s="65">
        <v>4</v>
      </c>
      <c r="AG18" s="23">
        <v>2</v>
      </c>
      <c r="AH18" s="23">
        <v>6</v>
      </c>
      <c r="AI18" s="23">
        <f t="shared" si="17"/>
        <v>12</v>
      </c>
      <c r="AJ18" s="94">
        <f t="shared" si="18"/>
        <v>3</v>
      </c>
    </row>
    <row r="19" spans="1:36" ht="15" x14ac:dyDescent="0.2">
      <c r="A19" s="18">
        <v>18</v>
      </c>
      <c r="B19" s="47" t="s">
        <v>56</v>
      </c>
      <c r="C19" s="15">
        <v>6666.25</v>
      </c>
      <c r="D19" s="39">
        <v>1637.2809999999999</v>
      </c>
      <c r="E19" s="39">
        <v>1613.3489999999999</v>
      </c>
      <c r="F19" s="39">
        <v>0</v>
      </c>
      <c r="G19" s="39">
        <v>67</v>
      </c>
      <c r="H19" s="40">
        <f t="shared" si="0"/>
        <v>0.24201747609225577</v>
      </c>
      <c r="I19" s="41">
        <f t="shared" si="1"/>
        <v>3</v>
      </c>
      <c r="J19" s="15">
        <v>214.142</v>
      </c>
      <c r="K19" s="40">
        <f t="shared" si="2"/>
        <v>0.13273135570790945</v>
      </c>
      <c r="L19" s="41">
        <f t="shared" si="3"/>
        <v>2</v>
      </c>
      <c r="M19" s="15">
        <v>709.11699999999996</v>
      </c>
      <c r="N19" s="40">
        <f t="shared" si="4"/>
        <v>0.43953106240497253</v>
      </c>
      <c r="O19" s="53">
        <f t="shared" si="5"/>
        <v>4</v>
      </c>
      <c r="P19" s="15">
        <v>278.57</v>
      </c>
      <c r="Q19" s="40">
        <f t="shared" si="6"/>
        <v>0.17266567865973204</v>
      </c>
      <c r="R19" s="42">
        <f t="shared" si="7"/>
        <v>6</v>
      </c>
      <c r="S19" s="41">
        <f t="shared" si="8"/>
        <v>3</v>
      </c>
      <c r="T19" s="15">
        <f>382.857+M19</f>
        <v>1091.9739999999999</v>
      </c>
      <c r="U19" s="40">
        <f t="shared" si="9"/>
        <v>0.67683681584083788</v>
      </c>
      <c r="V19" s="41">
        <f t="shared" si="10"/>
        <v>3</v>
      </c>
      <c r="W19" s="15">
        <v>1032.5530000000001</v>
      </c>
      <c r="X19" s="39">
        <v>125.41800000000001</v>
      </c>
      <c r="Y19" s="40">
        <f t="shared" si="11"/>
        <v>7.7737674861421802E-2</v>
      </c>
      <c r="Z19" s="41">
        <f t="shared" si="12"/>
        <v>2</v>
      </c>
      <c r="AA19" s="57">
        <f t="shared" si="13"/>
        <v>3.3333333333333335</v>
      </c>
      <c r="AB19" s="60">
        <f t="shared" si="14"/>
        <v>3</v>
      </c>
      <c r="AC19" s="58">
        <v>4</v>
      </c>
      <c r="AD19" s="59">
        <f t="shared" si="15"/>
        <v>12</v>
      </c>
      <c r="AE19" s="60">
        <f t="shared" si="16"/>
        <v>4</v>
      </c>
      <c r="AF19" s="65">
        <v>4</v>
      </c>
      <c r="AG19" s="23">
        <v>2</v>
      </c>
      <c r="AH19" s="23">
        <v>6</v>
      </c>
      <c r="AI19" s="23">
        <f t="shared" si="17"/>
        <v>12</v>
      </c>
      <c r="AJ19" s="94">
        <f t="shared" si="18"/>
        <v>3</v>
      </c>
    </row>
    <row r="20" spans="1:36" ht="15" x14ac:dyDescent="0.2">
      <c r="A20" s="18">
        <v>19</v>
      </c>
      <c r="B20" s="47" t="s">
        <v>57</v>
      </c>
      <c r="C20" s="15">
        <v>12234.14</v>
      </c>
      <c r="D20" s="39">
        <v>1151.0070000000001</v>
      </c>
      <c r="E20" s="39">
        <v>1054.9580000000001</v>
      </c>
      <c r="F20" s="39">
        <v>21.718</v>
      </c>
      <c r="G20" s="50">
        <v>70</v>
      </c>
      <c r="H20" s="40">
        <f t="shared" si="0"/>
        <v>8.6230662719243054E-2</v>
      </c>
      <c r="I20" s="41">
        <f t="shared" si="1"/>
        <v>1</v>
      </c>
      <c r="J20" s="15">
        <v>461.91899999999998</v>
      </c>
      <c r="K20" s="40">
        <f t="shared" si="2"/>
        <v>0.43785534590002628</v>
      </c>
      <c r="L20" s="41">
        <f t="shared" si="3"/>
        <v>4</v>
      </c>
      <c r="M20" s="15">
        <v>18.145</v>
      </c>
      <c r="N20" s="40">
        <f t="shared" si="4"/>
        <v>1.7199736861562259E-2</v>
      </c>
      <c r="O20" s="53">
        <f t="shared" si="5"/>
        <v>1</v>
      </c>
      <c r="P20" s="15">
        <v>261.75400000000002</v>
      </c>
      <c r="Q20" s="40">
        <f t="shared" si="6"/>
        <v>0.24811793455284475</v>
      </c>
      <c r="R20" s="42">
        <f t="shared" si="7"/>
        <v>6</v>
      </c>
      <c r="S20" s="41">
        <f t="shared" si="8"/>
        <v>3</v>
      </c>
      <c r="T20" s="15">
        <f>305.775+M20</f>
        <v>323.91999999999996</v>
      </c>
      <c r="U20" s="40">
        <f t="shared" si="9"/>
        <v>0.30704539896375016</v>
      </c>
      <c r="V20" s="41">
        <f t="shared" si="10"/>
        <v>2</v>
      </c>
      <c r="W20" s="15">
        <v>490.83600000000001</v>
      </c>
      <c r="X20" s="39">
        <v>175.952</v>
      </c>
      <c r="Y20" s="40">
        <f t="shared" si="11"/>
        <v>0.16678578673274194</v>
      </c>
      <c r="Z20" s="41">
        <f t="shared" si="12"/>
        <v>3</v>
      </c>
      <c r="AA20" s="57">
        <f t="shared" si="13"/>
        <v>2.8333333333333335</v>
      </c>
      <c r="AB20" s="60">
        <f t="shared" si="14"/>
        <v>3</v>
      </c>
      <c r="AC20" s="58">
        <v>2</v>
      </c>
      <c r="AD20" s="59">
        <f t="shared" si="15"/>
        <v>6</v>
      </c>
      <c r="AE20" s="60">
        <f t="shared" si="16"/>
        <v>3</v>
      </c>
      <c r="AF20" s="64">
        <v>3</v>
      </c>
      <c r="AG20" s="23">
        <v>2</v>
      </c>
      <c r="AH20" s="23">
        <v>5</v>
      </c>
      <c r="AI20" s="23">
        <f t="shared" si="17"/>
        <v>10</v>
      </c>
      <c r="AJ20" s="96">
        <f t="shared" si="18"/>
        <v>2</v>
      </c>
    </row>
    <row r="21" spans="1:36" ht="15" x14ac:dyDescent="0.2">
      <c r="A21" s="18">
        <v>20</v>
      </c>
      <c r="B21" s="47" t="s">
        <v>58</v>
      </c>
      <c r="C21" s="15">
        <v>5787.57</v>
      </c>
      <c r="D21" s="39">
        <v>2341.5990000000002</v>
      </c>
      <c r="E21" s="39">
        <v>2308.527</v>
      </c>
      <c r="F21" s="39">
        <v>12.855</v>
      </c>
      <c r="G21" s="39">
        <v>72</v>
      </c>
      <c r="H21" s="40">
        <f t="shared" si="0"/>
        <v>0.39887673064861423</v>
      </c>
      <c r="I21" s="41">
        <f t="shared" si="1"/>
        <v>4</v>
      </c>
      <c r="J21" s="15">
        <v>257.68400000000003</v>
      </c>
      <c r="K21" s="40">
        <f t="shared" si="2"/>
        <v>0.11162269273870308</v>
      </c>
      <c r="L21" s="41">
        <f t="shared" si="3"/>
        <v>2</v>
      </c>
      <c r="M21" s="15">
        <v>1525.846</v>
      </c>
      <c r="N21" s="40">
        <f t="shared" si="4"/>
        <v>0.66096086378890084</v>
      </c>
      <c r="O21" s="53">
        <f t="shared" si="5"/>
        <v>4</v>
      </c>
      <c r="P21" s="15">
        <v>97.253</v>
      </c>
      <c r="Q21" s="40">
        <f t="shared" si="6"/>
        <v>4.2127729067063108E-2</v>
      </c>
      <c r="R21" s="42">
        <f t="shared" si="7"/>
        <v>2</v>
      </c>
      <c r="S21" s="41">
        <f t="shared" si="8"/>
        <v>1</v>
      </c>
      <c r="T21" s="15">
        <f>378.926+M21</f>
        <v>1904.7719999999999</v>
      </c>
      <c r="U21" s="40">
        <f t="shared" si="9"/>
        <v>0.82510276033158803</v>
      </c>
      <c r="V21" s="41">
        <f t="shared" si="10"/>
        <v>4</v>
      </c>
      <c r="W21" s="15">
        <v>1890.0609999999999</v>
      </c>
      <c r="X21" s="39">
        <v>507.31599999999997</v>
      </c>
      <c r="Y21" s="40">
        <f t="shared" si="11"/>
        <v>0.21975744706472999</v>
      </c>
      <c r="Z21" s="41">
        <f t="shared" si="12"/>
        <v>3</v>
      </c>
      <c r="AA21" s="57">
        <f t="shared" si="13"/>
        <v>3.1666666666666665</v>
      </c>
      <c r="AB21" s="60">
        <f t="shared" si="14"/>
        <v>3</v>
      </c>
      <c r="AC21" s="58">
        <v>3</v>
      </c>
      <c r="AD21" s="59">
        <f t="shared" si="15"/>
        <v>9</v>
      </c>
      <c r="AE21" s="60">
        <f t="shared" si="16"/>
        <v>3</v>
      </c>
      <c r="AF21" s="64">
        <v>3</v>
      </c>
      <c r="AG21" s="23">
        <v>2</v>
      </c>
      <c r="AH21" s="23">
        <v>6</v>
      </c>
      <c r="AI21" s="23">
        <f t="shared" si="17"/>
        <v>12</v>
      </c>
      <c r="AJ21" s="94">
        <f t="shared" si="18"/>
        <v>3</v>
      </c>
    </row>
    <row r="22" spans="1:36" ht="15" x14ac:dyDescent="0.2">
      <c r="A22" s="18">
        <v>21</v>
      </c>
      <c r="B22" s="47" t="s">
        <v>59</v>
      </c>
      <c r="C22" s="15">
        <v>11054.75</v>
      </c>
      <c r="D22" s="39">
        <v>4153.817</v>
      </c>
      <c r="E22" s="39">
        <v>4060.7379999999998</v>
      </c>
      <c r="F22" s="39">
        <v>0</v>
      </c>
      <c r="G22" s="39">
        <v>72</v>
      </c>
      <c r="H22" s="40">
        <f t="shared" si="0"/>
        <v>0.36732969990275671</v>
      </c>
      <c r="I22" s="41">
        <f t="shared" si="1"/>
        <v>4</v>
      </c>
      <c r="J22" s="15">
        <v>228.774</v>
      </c>
      <c r="K22" s="40">
        <f t="shared" si="2"/>
        <v>5.6338035105933951E-2</v>
      </c>
      <c r="L22" s="41">
        <f t="shared" si="3"/>
        <v>2</v>
      </c>
      <c r="M22" s="15">
        <v>3007.3589999999999</v>
      </c>
      <c r="N22" s="40">
        <f t="shared" si="4"/>
        <v>0.74059419740943644</v>
      </c>
      <c r="O22" s="53">
        <f t="shared" si="5"/>
        <v>4</v>
      </c>
      <c r="P22" s="15">
        <v>474.447</v>
      </c>
      <c r="Q22" s="40">
        <f t="shared" si="6"/>
        <v>0.11683762902211373</v>
      </c>
      <c r="R22" s="42">
        <f t="shared" si="7"/>
        <v>4</v>
      </c>
      <c r="S22" s="41">
        <f t="shared" si="8"/>
        <v>2</v>
      </c>
      <c r="T22" s="15">
        <f>M22+214.878</f>
        <v>3222.2370000000001</v>
      </c>
      <c r="U22" s="40">
        <f t="shared" si="9"/>
        <v>0.7935101944523385</v>
      </c>
      <c r="V22" s="41">
        <f t="shared" si="10"/>
        <v>3</v>
      </c>
      <c r="W22" s="15">
        <v>3660.2280000000001</v>
      </c>
      <c r="X22" s="39">
        <v>659.01300000000003</v>
      </c>
      <c r="Y22" s="40">
        <f t="shared" si="11"/>
        <v>0.16228897308814311</v>
      </c>
      <c r="Z22" s="41">
        <f t="shared" si="12"/>
        <v>3</v>
      </c>
      <c r="AA22" s="57">
        <f t="shared" si="13"/>
        <v>3.3333333333333335</v>
      </c>
      <c r="AB22" s="60">
        <f t="shared" si="14"/>
        <v>3</v>
      </c>
      <c r="AC22" s="58">
        <v>3</v>
      </c>
      <c r="AD22" s="59">
        <f t="shared" si="15"/>
        <v>9</v>
      </c>
      <c r="AE22" s="60">
        <f t="shared" si="16"/>
        <v>3</v>
      </c>
      <c r="AF22" s="64">
        <v>3</v>
      </c>
      <c r="AG22" s="23">
        <v>2</v>
      </c>
      <c r="AH22" s="23">
        <v>6</v>
      </c>
      <c r="AI22" s="23">
        <f t="shared" si="17"/>
        <v>12</v>
      </c>
      <c r="AJ22" s="94">
        <f t="shared" si="18"/>
        <v>3</v>
      </c>
    </row>
    <row r="23" spans="1:36" ht="15" x14ac:dyDescent="0.2">
      <c r="A23" s="18">
        <v>22</v>
      </c>
      <c r="B23" s="47" t="s">
        <v>60</v>
      </c>
      <c r="C23" s="15">
        <v>10929.79</v>
      </c>
      <c r="D23" s="39">
        <f>1984.319+357.178+1342.102</f>
        <v>3683.5990000000002</v>
      </c>
      <c r="E23" s="39">
        <f>1935.564+357.178+1217.851</f>
        <v>3510.5930000000003</v>
      </c>
      <c r="F23" s="39">
        <v>432.149</v>
      </c>
      <c r="G23" s="39">
        <v>71</v>
      </c>
      <c r="H23" s="40">
        <f t="shared" si="0"/>
        <v>0.32119491774315884</v>
      </c>
      <c r="I23" s="41">
        <f t="shared" si="1"/>
        <v>4</v>
      </c>
      <c r="J23" s="15">
        <f>220.846+0.002</f>
        <v>220.84800000000001</v>
      </c>
      <c r="K23" s="40">
        <f t="shared" si="2"/>
        <v>6.2909029898937305E-2</v>
      </c>
      <c r="L23" s="41">
        <f t="shared" si="3"/>
        <v>2</v>
      </c>
      <c r="M23" s="15">
        <f>1130.688+1034.969</f>
        <v>2165.6570000000002</v>
      </c>
      <c r="N23" s="40">
        <f t="shared" si="4"/>
        <v>0.61689207492865161</v>
      </c>
      <c r="O23" s="53">
        <f t="shared" si="5"/>
        <v>4</v>
      </c>
      <c r="P23" s="15">
        <f>294.477+23.1</f>
        <v>317.577</v>
      </c>
      <c r="Q23" s="40">
        <f t="shared" si="6"/>
        <v>9.0462494513035258E-2</v>
      </c>
      <c r="R23" s="42">
        <f t="shared" si="7"/>
        <v>4</v>
      </c>
      <c r="S23" s="41">
        <f t="shared" si="8"/>
        <v>2</v>
      </c>
      <c r="T23" s="15">
        <f>231.043+M23+102.523</f>
        <v>2499.2230000000004</v>
      </c>
      <c r="U23" s="40">
        <f t="shared" si="9"/>
        <v>0.71190907063279629</v>
      </c>
      <c r="V23" s="41">
        <f t="shared" si="10"/>
        <v>3</v>
      </c>
      <c r="W23" s="15">
        <v>1436.336</v>
      </c>
      <c r="X23" s="69">
        <v>289.625</v>
      </c>
      <c r="Y23" s="40">
        <f t="shared" si="11"/>
        <v>8.2500306928202718E-2</v>
      </c>
      <c r="Z23" s="41">
        <f t="shared" si="12"/>
        <v>2</v>
      </c>
      <c r="AA23" s="57">
        <f t="shared" si="13"/>
        <v>3.1666666666666665</v>
      </c>
      <c r="AB23" s="60">
        <f t="shared" si="14"/>
        <v>3</v>
      </c>
      <c r="AC23" s="58">
        <v>4</v>
      </c>
      <c r="AD23" s="59">
        <f t="shared" si="15"/>
        <v>12</v>
      </c>
      <c r="AE23" s="60">
        <f t="shared" si="16"/>
        <v>4</v>
      </c>
      <c r="AF23" s="65">
        <v>4</v>
      </c>
      <c r="AG23" s="23">
        <v>2</v>
      </c>
      <c r="AH23" s="23">
        <v>6</v>
      </c>
      <c r="AI23" s="23">
        <f t="shared" si="17"/>
        <v>12</v>
      </c>
      <c r="AJ23" s="94">
        <f t="shared" si="18"/>
        <v>3</v>
      </c>
    </row>
    <row r="24" spans="1:36" ht="15" x14ac:dyDescent="0.2">
      <c r="A24" s="18">
        <v>23</v>
      </c>
      <c r="B24" s="47" t="s">
        <v>61</v>
      </c>
      <c r="C24" s="15">
        <v>8797.7000000000007</v>
      </c>
      <c r="D24" s="39">
        <v>3556.8110000000001</v>
      </c>
      <c r="E24" s="39">
        <v>3448.5309999999999</v>
      </c>
      <c r="F24" s="39">
        <v>6.1180000000000003</v>
      </c>
      <c r="G24" s="39">
        <v>72</v>
      </c>
      <c r="H24" s="40">
        <f t="shared" si="0"/>
        <v>0.39198097229957823</v>
      </c>
      <c r="I24" s="41">
        <f t="shared" si="1"/>
        <v>4</v>
      </c>
      <c r="J24" s="15">
        <v>469.95800000000003</v>
      </c>
      <c r="K24" s="40">
        <f t="shared" si="2"/>
        <v>0.13627773681025343</v>
      </c>
      <c r="L24" s="41">
        <f t="shared" si="3"/>
        <v>2</v>
      </c>
      <c r="M24" s="15">
        <v>2232.8560000000002</v>
      </c>
      <c r="N24" s="40">
        <f t="shared" si="4"/>
        <v>0.6474803329301666</v>
      </c>
      <c r="O24" s="53">
        <f t="shared" si="5"/>
        <v>4</v>
      </c>
      <c r="P24" s="15">
        <v>190.839</v>
      </c>
      <c r="Q24" s="40">
        <f t="shared" si="6"/>
        <v>5.5339215451448751E-2</v>
      </c>
      <c r="R24" s="42">
        <f t="shared" si="7"/>
        <v>4</v>
      </c>
      <c r="S24" s="41">
        <f t="shared" si="8"/>
        <v>2</v>
      </c>
      <c r="T24" s="15">
        <f>370.379+M24</f>
        <v>2603.2350000000001</v>
      </c>
      <c r="U24" s="40">
        <f t="shared" si="9"/>
        <v>0.7548822962588998</v>
      </c>
      <c r="V24" s="41">
        <f t="shared" si="10"/>
        <v>3</v>
      </c>
      <c r="W24" s="15">
        <v>2788.0230000000001</v>
      </c>
      <c r="X24" s="39">
        <v>194.31899999999999</v>
      </c>
      <c r="Y24" s="40">
        <f t="shared" si="11"/>
        <v>5.6348340786265223E-2</v>
      </c>
      <c r="Z24" s="41">
        <f t="shared" si="12"/>
        <v>2</v>
      </c>
      <c r="AA24" s="57">
        <f t="shared" si="13"/>
        <v>3.1666666666666665</v>
      </c>
      <c r="AB24" s="60">
        <f t="shared" si="14"/>
        <v>3</v>
      </c>
      <c r="AC24" s="58">
        <v>4</v>
      </c>
      <c r="AD24" s="59">
        <f t="shared" si="15"/>
        <v>12</v>
      </c>
      <c r="AE24" s="60">
        <f t="shared" si="16"/>
        <v>4</v>
      </c>
      <c r="AF24" s="65">
        <v>4</v>
      </c>
      <c r="AG24" s="23">
        <v>2</v>
      </c>
      <c r="AH24" s="23">
        <v>6</v>
      </c>
      <c r="AI24" s="23">
        <f t="shared" si="17"/>
        <v>12</v>
      </c>
      <c r="AJ24" s="94">
        <f t="shared" si="18"/>
        <v>3</v>
      </c>
    </row>
    <row r="25" spans="1:36" ht="15" x14ac:dyDescent="0.2">
      <c r="A25" s="18">
        <v>24</v>
      </c>
      <c r="B25" s="47" t="s">
        <v>62</v>
      </c>
      <c r="C25" s="15">
        <v>8600.08</v>
      </c>
      <c r="D25" s="39">
        <v>2923.17</v>
      </c>
      <c r="E25" s="39">
        <v>2876.317</v>
      </c>
      <c r="F25" s="39">
        <v>0</v>
      </c>
      <c r="G25" s="39">
        <v>70</v>
      </c>
      <c r="H25" s="40">
        <f t="shared" si="0"/>
        <v>0.33445235393159134</v>
      </c>
      <c r="I25" s="41">
        <f t="shared" si="1"/>
        <v>4</v>
      </c>
      <c r="J25" s="15">
        <v>914.57399999999996</v>
      </c>
      <c r="K25" s="40">
        <f t="shared" si="2"/>
        <v>0.31796703909895885</v>
      </c>
      <c r="L25" s="41">
        <f t="shared" si="3"/>
        <v>4</v>
      </c>
      <c r="M25" s="15">
        <v>950.33</v>
      </c>
      <c r="N25" s="40">
        <f t="shared" si="4"/>
        <v>0.33039821410505171</v>
      </c>
      <c r="O25" s="53">
        <f t="shared" si="5"/>
        <v>3</v>
      </c>
      <c r="P25" s="15">
        <v>433.05200000000002</v>
      </c>
      <c r="Q25" s="40">
        <f t="shared" si="6"/>
        <v>0.15055781403788249</v>
      </c>
      <c r="R25" s="42">
        <f t="shared" si="7"/>
        <v>6</v>
      </c>
      <c r="S25" s="41">
        <f t="shared" si="8"/>
        <v>3</v>
      </c>
      <c r="T25" s="15">
        <f>758.553+M25</f>
        <v>1708.883</v>
      </c>
      <c r="U25" s="40">
        <f t="shared" si="9"/>
        <v>0.59412192745097292</v>
      </c>
      <c r="V25" s="41">
        <f t="shared" si="10"/>
        <v>3</v>
      </c>
      <c r="W25" s="15">
        <v>1816.8920000000001</v>
      </c>
      <c r="X25" s="39">
        <v>769.34</v>
      </c>
      <c r="Y25" s="40">
        <f t="shared" si="11"/>
        <v>0.26747399539063327</v>
      </c>
      <c r="Z25" s="41">
        <f t="shared" si="12"/>
        <v>4</v>
      </c>
      <c r="AA25" s="57">
        <f t="shared" si="13"/>
        <v>4</v>
      </c>
      <c r="AB25" s="60">
        <f t="shared" si="14"/>
        <v>4</v>
      </c>
      <c r="AC25" s="58">
        <v>2</v>
      </c>
      <c r="AD25" s="59">
        <f t="shared" si="15"/>
        <v>8</v>
      </c>
      <c r="AE25" s="60">
        <f t="shared" si="16"/>
        <v>3</v>
      </c>
      <c r="AF25" s="64">
        <v>3</v>
      </c>
      <c r="AG25" s="23">
        <v>2</v>
      </c>
      <c r="AH25" s="23">
        <v>5</v>
      </c>
      <c r="AI25" s="23">
        <f t="shared" si="17"/>
        <v>10</v>
      </c>
      <c r="AJ25" s="96">
        <f t="shared" si="18"/>
        <v>2</v>
      </c>
    </row>
    <row r="26" spans="1:36" ht="15" x14ac:dyDescent="0.2">
      <c r="A26" s="18">
        <v>25</v>
      </c>
      <c r="B26" s="47" t="s">
        <v>63</v>
      </c>
      <c r="C26" s="15">
        <v>3738.95</v>
      </c>
      <c r="D26" s="39">
        <f>2354.048+134.417</f>
        <v>2488.4649999999997</v>
      </c>
      <c r="E26" s="39">
        <f>2274.783+132.795</f>
        <v>2407.578</v>
      </c>
      <c r="F26" s="39">
        <v>18.253</v>
      </c>
      <c r="G26" s="39">
        <v>65</v>
      </c>
      <c r="H26" s="40">
        <f t="shared" si="0"/>
        <v>0.64391821233233937</v>
      </c>
      <c r="I26" s="41">
        <f t="shared" si="1"/>
        <v>4</v>
      </c>
      <c r="J26" s="15">
        <v>104.563</v>
      </c>
      <c r="K26" s="40">
        <f t="shared" si="2"/>
        <v>4.3430783966293095E-2</v>
      </c>
      <c r="L26" s="41">
        <f t="shared" si="3"/>
        <v>1</v>
      </c>
      <c r="M26" s="15">
        <f>1642+132.495</f>
        <v>1774.4949999999999</v>
      </c>
      <c r="N26" s="40">
        <f t="shared" si="4"/>
        <v>0.73704569488506699</v>
      </c>
      <c r="O26" s="53">
        <f t="shared" si="5"/>
        <v>4</v>
      </c>
      <c r="P26" s="15">
        <v>187.24100000000001</v>
      </c>
      <c r="Q26" s="40">
        <f t="shared" si="6"/>
        <v>7.7771519759692112E-2</v>
      </c>
      <c r="R26" s="42">
        <f t="shared" si="7"/>
        <v>4</v>
      </c>
      <c r="S26" s="41">
        <f t="shared" si="8"/>
        <v>2</v>
      </c>
      <c r="T26" s="15">
        <f>M26+241.035</f>
        <v>2015.53</v>
      </c>
      <c r="U26" s="40">
        <f t="shared" si="9"/>
        <v>0.83716083134170527</v>
      </c>
      <c r="V26" s="41">
        <f t="shared" si="10"/>
        <v>4</v>
      </c>
      <c r="W26" s="15">
        <v>2021.9949999999999</v>
      </c>
      <c r="X26" s="39">
        <v>103.97</v>
      </c>
      <c r="Y26" s="40">
        <f t="shared" si="11"/>
        <v>4.3184478342965418E-2</v>
      </c>
      <c r="Z26" s="41">
        <f t="shared" si="12"/>
        <v>1</v>
      </c>
      <c r="AA26" s="57">
        <f t="shared" si="13"/>
        <v>3</v>
      </c>
      <c r="AB26" s="60">
        <f t="shared" si="14"/>
        <v>3</v>
      </c>
      <c r="AC26" s="58">
        <v>0</v>
      </c>
      <c r="AD26" s="59">
        <f t="shared" si="15"/>
        <v>0</v>
      </c>
      <c r="AE26" s="60">
        <f t="shared" si="16"/>
        <v>1</v>
      </c>
      <c r="AF26" s="62">
        <v>0</v>
      </c>
      <c r="AG26" s="23">
        <v>2</v>
      </c>
      <c r="AH26" s="23">
        <v>5</v>
      </c>
      <c r="AI26" s="23">
        <f t="shared" si="17"/>
        <v>10</v>
      </c>
      <c r="AJ26" s="96">
        <f t="shared" si="18"/>
        <v>2</v>
      </c>
    </row>
    <row r="27" spans="1:36" ht="15.75" thickBot="1" x14ac:dyDescent="0.25">
      <c r="A27" s="19">
        <v>26</v>
      </c>
      <c r="B27" s="51" t="s">
        <v>64</v>
      </c>
      <c r="C27" s="44">
        <v>8155.45</v>
      </c>
      <c r="D27" s="52">
        <v>3218.0309999999999</v>
      </c>
      <c r="E27" s="52">
        <v>3163.826</v>
      </c>
      <c r="F27" s="52">
        <v>0</v>
      </c>
      <c r="G27" s="52">
        <v>62</v>
      </c>
      <c r="H27" s="45">
        <f t="shared" si="0"/>
        <v>0.38794008914284311</v>
      </c>
      <c r="I27" s="46">
        <f t="shared" si="1"/>
        <v>4</v>
      </c>
      <c r="J27" s="44">
        <v>174.58099999999999</v>
      </c>
      <c r="K27" s="45">
        <f t="shared" si="2"/>
        <v>5.5180341776064797E-2</v>
      </c>
      <c r="L27" s="46">
        <f t="shared" si="3"/>
        <v>2</v>
      </c>
      <c r="M27" s="44">
        <v>2280.2869999999998</v>
      </c>
      <c r="N27" s="45">
        <f t="shared" si="4"/>
        <v>0.72073717075464949</v>
      </c>
      <c r="O27" s="54">
        <f t="shared" si="5"/>
        <v>4</v>
      </c>
      <c r="P27" s="44">
        <v>80.203999999999994</v>
      </c>
      <c r="Q27" s="45">
        <f t="shared" si="6"/>
        <v>2.5350319518203591E-2</v>
      </c>
      <c r="R27" s="55">
        <f t="shared" si="7"/>
        <v>2</v>
      </c>
      <c r="S27" s="46">
        <f t="shared" si="8"/>
        <v>1</v>
      </c>
      <c r="T27" s="44">
        <f>505.368+M27</f>
        <v>2785.6549999999997</v>
      </c>
      <c r="U27" s="45">
        <f t="shared" si="9"/>
        <v>0.88047035456437861</v>
      </c>
      <c r="V27" s="46">
        <f t="shared" si="10"/>
        <v>4</v>
      </c>
      <c r="W27" s="44">
        <v>2568.8589999999999</v>
      </c>
      <c r="X27" s="52">
        <v>426.37599999999998</v>
      </c>
      <c r="Y27" s="45">
        <f t="shared" si="11"/>
        <v>0.13476594477698836</v>
      </c>
      <c r="Z27" s="46">
        <f t="shared" si="12"/>
        <v>2</v>
      </c>
      <c r="AA27" s="57">
        <f t="shared" si="13"/>
        <v>3</v>
      </c>
      <c r="AB27" s="61">
        <f t="shared" si="14"/>
        <v>3</v>
      </c>
      <c r="AC27" s="58">
        <v>3</v>
      </c>
      <c r="AD27" s="59">
        <f t="shared" si="15"/>
        <v>9</v>
      </c>
      <c r="AE27" s="61">
        <f t="shared" si="16"/>
        <v>3</v>
      </c>
      <c r="AF27" s="67">
        <v>3</v>
      </c>
      <c r="AG27" s="23">
        <v>2</v>
      </c>
      <c r="AH27" s="23">
        <v>6</v>
      </c>
      <c r="AI27" s="23">
        <f t="shared" si="17"/>
        <v>12</v>
      </c>
      <c r="AJ27" s="94">
        <f t="shared" si="18"/>
        <v>3</v>
      </c>
    </row>
    <row r="28" spans="1:36" x14ac:dyDescent="0.2">
      <c r="Q28" s="26"/>
      <c r="R28" s="26"/>
    </row>
  </sheetData>
  <sortState xmlns:xlrd2="http://schemas.microsoft.com/office/spreadsheetml/2017/richdata2" ref="A2:AJ27">
    <sortCondition ref="A2:A2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27"/>
  <sheetViews>
    <sheetView tabSelected="1" zoomScale="80" zoomScaleNormal="80" workbookViewId="0">
      <selection activeCell="B16" sqref="B16"/>
    </sheetView>
  </sheetViews>
  <sheetFormatPr defaultColWidth="8.7109375" defaultRowHeight="15" x14ac:dyDescent="0.25"/>
  <cols>
    <col min="1" max="1" width="8.140625" style="2" customWidth="1"/>
    <col min="2" max="2" width="25.5703125" style="2" customWidth="1"/>
    <col min="3" max="3" width="14" style="2" customWidth="1"/>
    <col min="4" max="5" width="15.5703125" style="6" customWidth="1"/>
    <col min="6" max="7" width="14.140625" style="6" customWidth="1"/>
    <col min="8" max="8" width="14.7109375" style="2" customWidth="1"/>
    <col min="9" max="9" width="14.140625" style="2" customWidth="1"/>
    <col min="10" max="10" width="15.7109375" style="2" customWidth="1"/>
    <col min="11" max="12" width="14.7109375" style="2" customWidth="1"/>
    <col min="13" max="13" width="16.28515625" style="2" customWidth="1"/>
    <col min="14" max="16" width="15.140625" style="2" customWidth="1"/>
    <col min="17" max="17" width="15.5703125" style="2" customWidth="1"/>
    <col min="18" max="18" width="14.42578125" style="2" customWidth="1"/>
    <col min="19" max="22" width="15.140625" style="2" customWidth="1"/>
    <col min="23" max="23" width="19.5703125" style="2" customWidth="1"/>
    <col min="24" max="24" width="17.7109375" style="2" customWidth="1"/>
    <col min="25" max="25" width="15.5703125" style="2" customWidth="1"/>
    <col min="26" max="26" width="18.7109375" customWidth="1"/>
    <col min="27" max="27" width="16.28515625" style="28" customWidth="1"/>
    <col min="28" max="28" width="15.42578125" customWidth="1"/>
    <col min="29" max="29" width="19.140625" style="2" customWidth="1"/>
    <col min="30" max="30" width="16.5703125" style="2" customWidth="1"/>
    <col min="31" max="31" width="20.85546875" style="2" customWidth="1"/>
    <col min="32" max="32" width="17.5703125" style="2" customWidth="1"/>
    <col min="33" max="33" width="15.7109375" style="30" customWidth="1"/>
    <col min="34" max="34" width="15.42578125" style="27" customWidth="1"/>
    <col min="35" max="35" width="14.5703125" style="27" customWidth="1"/>
    <col min="36" max="36" width="15.140625" style="27" customWidth="1"/>
    <col min="37" max="37" width="16" style="27" customWidth="1"/>
    <col min="38" max="38" width="15.140625" style="27" customWidth="1"/>
    <col min="39" max="39" width="14.5703125" style="27" customWidth="1"/>
    <col min="40" max="40" width="18" style="27" customWidth="1"/>
    <col min="41" max="41" width="16.28515625" style="27" customWidth="1"/>
    <col min="42" max="42" width="14.42578125" style="2" customWidth="1"/>
    <col min="43" max="16384" width="8.7109375" style="2"/>
  </cols>
  <sheetData>
    <row r="1" spans="1:42" ht="114.75" x14ac:dyDescent="0.2">
      <c r="A1" s="97" t="s">
        <v>0</v>
      </c>
      <c r="B1" s="98" t="s">
        <v>1</v>
      </c>
      <c r="C1" s="12" t="s">
        <v>2</v>
      </c>
      <c r="D1" s="13" t="s">
        <v>3</v>
      </c>
      <c r="E1" s="13" t="s">
        <v>65</v>
      </c>
      <c r="F1" s="13" t="s">
        <v>4</v>
      </c>
      <c r="G1" s="13" t="s">
        <v>66</v>
      </c>
      <c r="H1" s="13" t="s">
        <v>6</v>
      </c>
      <c r="I1" s="13" t="s">
        <v>7</v>
      </c>
      <c r="J1" s="14" t="s">
        <v>8</v>
      </c>
      <c r="K1" s="12" t="s">
        <v>67</v>
      </c>
      <c r="L1" s="13" t="s">
        <v>10</v>
      </c>
      <c r="M1" s="14" t="s">
        <v>11</v>
      </c>
      <c r="N1" s="12" t="s">
        <v>12</v>
      </c>
      <c r="O1" s="13" t="s">
        <v>13</v>
      </c>
      <c r="P1" s="14" t="s">
        <v>14</v>
      </c>
      <c r="Q1" s="12" t="s">
        <v>18</v>
      </c>
      <c r="R1" s="13" t="s">
        <v>19</v>
      </c>
      <c r="S1" s="13" t="s">
        <v>68</v>
      </c>
      <c r="T1" s="13" t="s">
        <v>69</v>
      </c>
      <c r="U1" s="13" t="s">
        <v>70</v>
      </c>
      <c r="V1" s="14" t="s">
        <v>17</v>
      </c>
      <c r="W1" s="12" t="s">
        <v>22</v>
      </c>
      <c r="X1" s="13" t="s">
        <v>23</v>
      </c>
      <c r="Y1" s="14" t="s">
        <v>21</v>
      </c>
      <c r="Z1" s="99" t="s">
        <v>71</v>
      </c>
      <c r="AA1" s="100" t="s">
        <v>72</v>
      </c>
      <c r="AB1" s="101" t="s">
        <v>73</v>
      </c>
      <c r="AC1" s="20" t="s">
        <v>25</v>
      </c>
      <c r="AD1" s="13" t="s">
        <v>26</v>
      </c>
      <c r="AE1" s="13" t="s">
        <v>74</v>
      </c>
      <c r="AF1" s="14" t="s">
        <v>28</v>
      </c>
      <c r="AG1" s="21" t="s">
        <v>29</v>
      </c>
      <c r="AH1" s="22" t="s">
        <v>30</v>
      </c>
      <c r="AI1" s="11" t="s">
        <v>31</v>
      </c>
      <c r="AJ1" s="24" t="s">
        <v>32</v>
      </c>
      <c r="AK1" s="22" t="s">
        <v>33</v>
      </c>
      <c r="AL1" s="22" t="s">
        <v>34</v>
      </c>
      <c r="AM1" s="10" t="s">
        <v>35</v>
      </c>
      <c r="AN1" s="10" t="s">
        <v>36</v>
      </c>
      <c r="AO1" s="10" t="s">
        <v>37</v>
      </c>
      <c r="AP1" s="10" t="s">
        <v>38</v>
      </c>
    </row>
    <row r="2" spans="1:42" x14ac:dyDescent="0.2">
      <c r="A2" s="34">
        <v>1</v>
      </c>
      <c r="B2" s="47" t="s">
        <v>39</v>
      </c>
      <c r="C2" s="15">
        <v>24016.080000000002</v>
      </c>
      <c r="D2" s="39">
        <v>6385.7330000000002</v>
      </c>
      <c r="E2" s="39">
        <f t="shared" ref="E2:E27" si="0">D2*10000</f>
        <v>63857330</v>
      </c>
      <c r="F2" s="39">
        <v>6168.7169999999996</v>
      </c>
      <c r="G2" s="39">
        <v>36.640999999999998</v>
      </c>
      <c r="H2" s="39">
        <v>67</v>
      </c>
      <c r="I2" s="40">
        <f t="shared" ref="I2:I27" si="1">F2/C2</f>
        <v>0.25685778028720752</v>
      </c>
      <c r="J2" s="41">
        <f t="shared" ref="J2:J27" si="2">IF(I2&lt;10%,1,IF(I2&lt;20%,2,IF(I2&lt;30%,3,4)))</f>
        <v>3</v>
      </c>
      <c r="K2" s="15">
        <f>1687.589+12.365+3.022+1.171</f>
        <v>1704.1469999999999</v>
      </c>
      <c r="L2" s="40">
        <f t="shared" ref="L2:L27" si="3">K2/F2</f>
        <v>0.27625631067205708</v>
      </c>
      <c r="M2" s="41">
        <f t="shared" ref="M2:M27" si="4">IF(L2&lt;5%,1,IF(L2&lt;15%,2,IF(L2&lt;25%,3,4)))</f>
        <v>4</v>
      </c>
      <c r="N2" s="15">
        <f>906.724+13.734</f>
        <v>920.45800000000008</v>
      </c>
      <c r="O2" s="40">
        <f t="shared" ref="O2:O27" si="5">N2/F2</f>
        <v>0.14921384787144557</v>
      </c>
      <c r="P2" s="53">
        <f t="shared" ref="P2:P27" si="6">IF(O2&lt;5%,1,IF(O2&lt;20%,2,IF(O2&lt;40%,3,4)))</f>
        <v>2</v>
      </c>
      <c r="Q2" s="15">
        <f>2076.492+N2</f>
        <v>2996.9500000000003</v>
      </c>
      <c r="R2" s="40">
        <f t="shared" ref="R2:R27" si="7">Q2/F2</f>
        <v>0.48583035986251283</v>
      </c>
      <c r="S2" s="39">
        <v>3356.2060000000001</v>
      </c>
      <c r="T2" s="40">
        <f t="shared" ref="T2:T27" si="8">S2/F2</f>
        <v>0.54406872612246604</v>
      </c>
      <c r="U2" s="42">
        <f t="shared" ref="U2:U27" si="9">V2*2</f>
        <v>8</v>
      </c>
      <c r="V2" s="41">
        <f t="shared" ref="V2:V27" si="10">IF(T2&lt;2%,1,IF(T2&lt;5%,2,IF(T2&lt;10%,3,4)))</f>
        <v>4</v>
      </c>
      <c r="W2" s="15">
        <v>2661.2779999999998</v>
      </c>
      <c r="X2" s="40">
        <f t="shared" ref="X2:X27" si="11">W2/F2</f>
        <v>0.43141515488552967</v>
      </c>
      <c r="Y2" s="41">
        <f t="shared" ref="Y2:Y27" si="12">IF(X2&lt;10%,1,IF(X2&lt;50%,2,IF(X2&lt;80%,3,IF(X2&gt;80%,4))))</f>
        <v>2</v>
      </c>
      <c r="Z2" s="102">
        <v>440516.23291948799</v>
      </c>
      <c r="AA2" s="103">
        <f t="shared" ref="AA2:AA27" si="13">Z2/E2</f>
        <v>6.8984442807033738E-3</v>
      </c>
      <c r="AB2" s="104">
        <f t="shared" ref="AB2:AB27" si="14">IF(AA2&lt;0.7%,1,IF(AA2&lt;2%,3,IF(AA2&lt;3%,3,4)))</f>
        <v>1</v>
      </c>
      <c r="AC2" s="15">
        <v>2752.9920000000002</v>
      </c>
      <c r="AD2" s="39">
        <v>986.7</v>
      </c>
      <c r="AE2" s="40">
        <f t="shared" ref="AE2:AE27" si="15">AD2/F2</f>
        <v>0.15995222345262397</v>
      </c>
      <c r="AF2" s="41">
        <f>IF(AE2&lt;5%,1,IF(AE2&lt;15%,2,IF(AE2&lt;25%,3,IF(AE2&gt;25,4))))</f>
        <v>3</v>
      </c>
      <c r="AG2" s="57">
        <f t="shared" ref="AG2:AG27" si="16">(J2+M2+P2+U2+Y2+AF2+AB2)/7</f>
        <v>3.2857142857142856</v>
      </c>
      <c r="AH2" s="60">
        <f t="shared" ref="AH2:AH27" si="17">IF(AG2&lt;1.5,1,IF(AG2&lt;2.5,2,IF(AG2&lt;3.5,3,4)))</f>
        <v>3</v>
      </c>
      <c r="AI2" s="105">
        <v>4</v>
      </c>
      <c r="AJ2" s="59">
        <f t="shared" ref="AJ2:AJ27" si="18">AH2*AI2</f>
        <v>12</v>
      </c>
      <c r="AK2" s="60">
        <f t="shared" ref="AK2:AK27" si="19">IF(AJ2&lt;3,1,IF(AJ2&lt;5,2,IF(AJ2&lt;12,3,4)))</f>
        <v>4</v>
      </c>
      <c r="AL2" s="65">
        <v>4</v>
      </c>
      <c r="AM2" s="23">
        <v>2</v>
      </c>
      <c r="AN2" s="23">
        <v>6</v>
      </c>
      <c r="AO2" s="23">
        <f>AM2*AN2</f>
        <v>12</v>
      </c>
      <c r="AP2" s="94">
        <f>IF(AO2&lt;6,1,IF(AO2&lt;12,2,IF(AO2&lt;18,3,4)))</f>
        <v>3</v>
      </c>
    </row>
    <row r="3" spans="1:42" x14ac:dyDescent="0.2">
      <c r="A3" s="34">
        <v>2</v>
      </c>
      <c r="B3" s="47" t="s">
        <v>40</v>
      </c>
      <c r="C3" s="15">
        <v>3218.24</v>
      </c>
      <c r="D3" s="39">
        <v>1530.242</v>
      </c>
      <c r="E3" s="39">
        <f t="shared" si="0"/>
        <v>15302420</v>
      </c>
      <c r="F3" s="39">
        <v>1499.578</v>
      </c>
      <c r="G3" s="39">
        <v>0.13700000000000001</v>
      </c>
      <c r="H3" s="39">
        <v>71</v>
      </c>
      <c r="I3" s="40">
        <f t="shared" si="1"/>
        <v>0.46596214079745452</v>
      </c>
      <c r="J3" s="41">
        <f t="shared" si="2"/>
        <v>4</v>
      </c>
      <c r="K3" s="15">
        <v>362.15199999999999</v>
      </c>
      <c r="L3" s="40">
        <f t="shared" si="3"/>
        <v>0.24150260940077808</v>
      </c>
      <c r="M3" s="41">
        <f t="shared" si="4"/>
        <v>3</v>
      </c>
      <c r="N3" s="15">
        <v>532.70000000000005</v>
      </c>
      <c r="O3" s="40">
        <f t="shared" si="5"/>
        <v>0.35523327229393875</v>
      </c>
      <c r="P3" s="53">
        <f t="shared" si="6"/>
        <v>3</v>
      </c>
      <c r="Q3" s="15">
        <f>323.513+N3</f>
        <v>856.21299999999997</v>
      </c>
      <c r="R3" s="40">
        <f t="shared" si="7"/>
        <v>0.57096929936288743</v>
      </c>
      <c r="S3" s="39">
        <v>67.436999999999998</v>
      </c>
      <c r="T3" s="40">
        <f t="shared" si="8"/>
        <v>4.4970651743357133E-2</v>
      </c>
      <c r="U3" s="42">
        <f t="shared" si="9"/>
        <v>4</v>
      </c>
      <c r="V3" s="41">
        <f t="shared" si="10"/>
        <v>2</v>
      </c>
      <c r="W3" s="15">
        <f>569.513+N3</f>
        <v>1102.2130000000002</v>
      </c>
      <c r="X3" s="40">
        <f t="shared" si="11"/>
        <v>0.73501545101355192</v>
      </c>
      <c r="Y3" s="41">
        <f t="shared" si="12"/>
        <v>3</v>
      </c>
      <c r="Z3" s="102">
        <v>45420.951525764802</v>
      </c>
      <c r="AA3" s="103">
        <f t="shared" si="13"/>
        <v>2.9682201590182991E-3</v>
      </c>
      <c r="AB3" s="104">
        <f t="shared" si="14"/>
        <v>1</v>
      </c>
      <c r="AC3" s="15">
        <v>1269.4590000000001</v>
      </c>
      <c r="AD3" s="39">
        <v>413.60700000000003</v>
      </c>
      <c r="AE3" s="40">
        <f t="shared" si="15"/>
        <v>0.27581559612104206</v>
      </c>
      <c r="AF3" s="41">
        <f t="shared" ref="AF3:AF27" si="20">IF(AE3&lt;5%,1,IF(AE3&lt;15%,2,IF(AE3&lt;25%,3,IF(AE3&lt;40,4))))</f>
        <v>4</v>
      </c>
      <c r="AG3" s="57">
        <f t="shared" si="16"/>
        <v>3.1428571428571428</v>
      </c>
      <c r="AH3" s="60">
        <f t="shared" si="17"/>
        <v>3</v>
      </c>
      <c r="AI3" s="105">
        <v>1</v>
      </c>
      <c r="AJ3" s="59">
        <f t="shared" si="18"/>
        <v>3</v>
      </c>
      <c r="AK3" s="60">
        <f t="shared" si="19"/>
        <v>2</v>
      </c>
      <c r="AL3" s="63">
        <v>2</v>
      </c>
      <c r="AM3" s="23">
        <v>2</v>
      </c>
      <c r="AN3" s="23">
        <v>6</v>
      </c>
      <c r="AO3" s="23">
        <f t="shared" ref="AO3:AO27" si="21">AM3*AN3</f>
        <v>12</v>
      </c>
      <c r="AP3" s="94">
        <f t="shared" ref="AP3:AP27" si="22">IF(AO3&lt;6,1,IF(AO3&lt;12,2,IF(AO3&lt;18,3,4)))</f>
        <v>3</v>
      </c>
    </row>
    <row r="4" spans="1:42" x14ac:dyDescent="0.2">
      <c r="A4" s="34">
        <v>3</v>
      </c>
      <c r="B4" s="49" t="s">
        <v>41</v>
      </c>
      <c r="C4" s="15">
        <v>1150.71</v>
      </c>
      <c r="D4" s="39">
        <v>53.204999999999998</v>
      </c>
      <c r="E4" s="39">
        <f t="shared" si="0"/>
        <v>532050</v>
      </c>
      <c r="F4" s="39">
        <v>50.284999999999997</v>
      </c>
      <c r="G4" s="39">
        <v>14.334</v>
      </c>
      <c r="H4" s="39">
        <v>80</v>
      </c>
      <c r="I4" s="40">
        <f t="shared" si="1"/>
        <v>4.3699107507538817E-2</v>
      </c>
      <c r="J4" s="41">
        <f t="shared" si="2"/>
        <v>1</v>
      </c>
      <c r="K4" s="15">
        <v>38.387</v>
      </c>
      <c r="L4" s="40">
        <f t="shared" si="3"/>
        <v>0.76338868449835939</v>
      </c>
      <c r="M4" s="41">
        <f t="shared" si="4"/>
        <v>4</v>
      </c>
      <c r="N4" s="15">
        <v>3.2050000000000001</v>
      </c>
      <c r="O4" s="40">
        <f t="shared" si="5"/>
        <v>6.3736700805409177E-2</v>
      </c>
      <c r="P4" s="53">
        <f t="shared" si="6"/>
        <v>2</v>
      </c>
      <c r="Q4" s="15">
        <f>33.648+N4</f>
        <v>36.853000000000002</v>
      </c>
      <c r="R4" s="40">
        <f t="shared" si="7"/>
        <v>0.73288256935467844</v>
      </c>
      <c r="S4" s="39">
        <v>3.5619999999999998</v>
      </c>
      <c r="T4" s="40">
        <f t="shared" si="8"/>
        <v>7.0836233469225421E-2</v>
      </c>
      <c r="U4" s="42">
        <f t="shared" si="9"/>
        <v>6</v>
      </c>
      <c r="V4" s="41">
        <f t="shared" si="10"/>
        <v>3</v>
      </c>
      <c r="W4" s="15">
        <f>6.484+N4</f>
        <v>9.6890000000000001</v>
      </c>
      <c r="X4" s="40">
        <f t="shared" si="11"/>
        <v>0.19268171422889532</v>
      </c>
      <c r="Y4" s="41">
        <f t="shared" si="12"/>
        <v>2</v>
      </c>
      <c r="Z4" s="102">
        <v>15124.615515513</v>
      </c>
      <c r="AA4" s="103">
        <f t="shared" si="13"/>
        <v>2.8427056696763462E-2</v>
      </c>
      <c r="AB4" s="104">
        <f t="shared" si="14"/>
        <v>3</v>
      </c>
      <c r="AC4" s="15">
        <v>30.716000000000001</v>
      </c>
      <c r="AD4" s="39">
        <v>5.35</v>
      </c>
      <c r="AE4" s="40">
        <f t="shared" si="15"/>
        <v>0.10639355672665805</v>
      </c>
      <c r="AF4" s="41">
        <f t="shared" si="20"/>
        <v>2</v>
      </c>
      <c r="AG4" s="57">
        <f t="shared" si="16"/>
        <v>2.8571428571428572</v>
      </c>
      <c r="AH4" s="60">
        <f t="shared" si="17"/>
        <v>3</v>
      </c>
      <c r="AI4" s="105">
        <v>4</v>
      </c>
      <c r="AJ4" s="59">
        <f t="shared" si="18"/>
        <v>12</v>
      </c>
      <c r="AK4" s="60">
        <f t="shared" si="19"/>
        <v>4</v>
      </c>
      <c r="AL4" s="65">
        <v>4</v>
      </c>
      <c r="AM4" s="23">
        <v>2</v>
      </c>
      <c r="AN4" s="23">
        <v>6</v>
      </c>
      <c r="AO4" s="23">
        <f t="shared" si="21"/>
        <v>12</v>
      </c>
      <c r="AP4" s="94">
        <f t="shared" si="22"/>
        <v>3</v>
      </c>
    </row>
    <row r="5" spans="1:42" x14ac:dyDescent="0.2">
      <c r="A5" s="34">
        <v>4</v>
      </c>
      <c r="B5" s="47" t="s">
        <v>42</v>
      </c>
      <c r="C5" s="15">
        <v>2072.1999999999998</v>
      </c>
      <c r="D5" s="39">
        <v>913.41800000000001</v>
      </c>
      <c r="E5" s="39">
        <f t="shared" si="0"/>
        <v>9134180</v>
      </c>
      <c r="F5" s="39">
        <v>870.41700000000003</v>
      </c>
      <c r="G5" s="39">
        <v>5.0350000000000001</v>
      </c>
      <c r="H5" s="39">
        <v>62</v>
      </c>
      <c r="I5" s="40">
        <f t="shared" si="1"/>
        <v>0.42004487983785355</v>
      </c>
      <c r="J5" s="41">
        <f t="shared" si="2"/>
        <v>4</v>
      </c>
      <c r="K5" s="15">
        <v>47.435000000000002</v>
      </c>
      <c r="L5" s="40">
        <f t="shared" si="3"/>
        <v>5.4496867593348937E-2</v>
      </c>
      <c r="M5" s="41">
        <f t="shared" si="4"/>
        <v>2</v>
      </c>
      <c r="N5" s="15">
        <v>598.63</v>
      </c>
      <c r="O5" s="40">
        <f t="shared" si="5"/>
        <v>0.68775081369044944</v>
      </c>
      <c r="P5" s="53">
        <f t="shared" si="6"/>
        <v>4</v>
      </c>
      <c r="Q5" s="15">
        <f>23.696+N5</f>
        <v>622.32600000000002</v>
      </c>
      <c r="R5" s="40">
        <f t="shared" si="7"/>
        <v>0.71497454668279692</v>
      </c>
      <c r="S5" s="39">
        <v>56.530999999999999</v>
      </c>
      <c r="T5" s="40">
        <f t="shared" si="8"/>
        <v>6.4947031135651076E-2</v>
      </c>
      <c r="U5" s="42">
        <f t="shared" si="9"/>
        <v>6</v>
      </c>
      <c r="V5" s="41">
        <f t="shared" si="10"/>
        <v>3</v>
      </c>
      <c r="W5" s="15">
        <f>88.824+N5</f>
        <v>687.45399999999995</v>
      </c>
      <c r="X5" s="40">
        <f t="shared" si="11"/>
        <v>0.78979845292543682</v>
      </c>
      <c r="Y5" s="41">
        <f t="shared" si="12"/>
        <v>3</v>
      </c>
      <c r="Z5" s="102">
        <v>75325.576830017104</v>
      </c>
      <c r="AA5" s="103">
        <f t="shared" si="13"/>
        <v>8.2465614680263689E-3</v>
      </c>
      <c r="AB5" s="104">
        <f t="shared" si="14"/>
        <v>3</v>
      </c>
      <c r="AC5" s="15">
        <v>819.81700000000001</v>
      </c>
      <c r="AD5" s="39">
        <v>6.2889999999999997</v>
      </c>
      <c r="AE5" s="40">
        <f t="shared" si="15"/>
        <v>7.225272484337966E-3</v>
      </c>
      <c r="AF5" s="41">
        <f t="shared" si="20"/>
        <v>1</v>
      </c>
      <c r="AG5" s="57">
        <f t="shared" si="16"/>
        <v>3.2857142857142856</v>
      </c>
      <c r="AH5" s="60">
        <f t="shared" si="17"/>
        <v>3</v>
      </c>
      <c r="AI5" s="105">
        <v>1</v>
      </c>
      <c r="AJ5" s="59">
        <f t="shared" si="18"/>
        <v>3</v>
      </c>
      <c r="AK5" s="60">
        <f t="shared" si="19"/>
        <v>2</v>
      </c>
      <c r="AL5" s="63">
        <v>2</v>
      </c>
      <c r="AM5" s="23">
        <v>2</v>
      </c>
      <c r="AN5" s="23">
        <v>6</v>
      </c>
      <c r="AO5" s="23">
        <f t="shared" si="21"/>
        <v>12</v>
      </c>
      <c r="AP5" s="94">
        <f t="shared" si="22"/>
        <v>3</v>
      </c>
    </row>
    <row r="6" spans="1:42" x14ac:dyDescent="0.2">
      <c r="A6" s="34">
        <v>5</v>
      </c>
      <c r="B6" s="47" t="s">
        <v>43</v>
      </c>
      <c r="C6" s="15">
        <v>8249.25</v>
      </c>
      <c r="D6" s="39">
        <f>4484.424+544.68</f>
        <v>5029.1040000000003</v>
      </c>
      <c r="E6" s="39">
        <f t="shared" si="0"/>
        <v>50291040</v>
      </c>
      <c r="F6" s="39">
        <f>4107.924+346.657</f>
        <v>4454.5810000000001</v>
      </c>
      <c r="G6" s="39">
        <v>3.2559999999999998</v>
      </c>
      <c r="H6" s="39">
        <v>75</v>
      </c>
      <c r="I6" s="40">
        <f t="shared" si="1"/>
        <v>0.53999830287601902</v>
      </c>
      <c r="J6" s="41">
        <f t="shared" si="2"/>
        <v>4</v>
      </c>
      <c r="K6" s="15">
        <v>242.732</v>
      </c>
      <c r="L6" s="40">
        <f t="shared" si="3"/>
        <v>5.4490422331527927E-2</v>
      </c>
      <c r="M6" s="41">
        <f t="shared" si="4"/>
        <v>2</v>
      </c>
      <c r="N6" s="15">
        <f>2747.98+345.901</f>
        <v>3093.8809999999999</v>
      </c>
      <c r="O6" s="40">
        <f t="shared" si="5"/>
        <v>0.69453917214660588</v>
      </c>
      <c r="P6" s="53">
        <f t="shared" si="6"/>
        <v>4</v>
      </c>
      <c r="Q6" s="15">
        <f>205.47+N6</f>
        <v>3299.3509999999997</v>
      </c>
      <c r="R6" s="40">
        <f t="shared" si="7"/>
        <v>0.7406647224508881</v>
      </c>
      <c r="S6" s="39">
        <v>338.99099999999999</v>
      </c>
      <c r="T6" s="40">
        <f t="shared" si="8"/>
        <v>7.6099413165907182E-2</v>
      </c>
      <c r="U6" s="42">
        <f t="shared" si="9"/>
        <v>6</v>
      </c>
      <c r="V6" s="41">
        <f t="shared" si="10"/>
        <v>3</v>
      </c>
      <c r="W6" s="15">
        <f>604.656+N6</f>
        <v>3698.5369999999998</v>
      </c>
      <c r="X6" s="40">
        <f t="shared" si="11"/>
        <v>0.83027719105343456</v>
      </c>
      <c r="Y6" s="41">
        <f t="shared" si="12"/>
        <v>4</v>
      </c>
      <c r="Z6" s="102">
        <v>210040.921531011</v>
      </c>
      <c r="AA6" s="103">
        <f t="shared" si="13"/>
        <v>4.1765078139368566E-3</v>
      </c>
      <c r="AB6" s="104">
        <f t="shared" si="14"/>
        <v>1</v>
      </c>
      <c r="AC6" s="15">
        <v>3300.3150000000001</v>
      </c>
      <c r="AD6" s="39">
        <v>314.87799999999999</v>
      </c>
      <c r="AE6" s="40">
        <f t="shared" si="15"/>
        <v>7.0686333911090624E-2</v>
      </c>
      <c r="AF6" s="41">
        <f t="shared" si="20"/>
        <v>2</v>
      </c>
      <c r="AG6" s="57">
        <f t="shared" si="16"/>
        <v>3.2857142857142856</v>
      </c>
      <c r="AH6" s="60">
        <f t="shared" si="17"/>
        <v>3</v>
      </c>
      <c r="AI6" s="105">
        <v>2</v>
      </c>
      <c r="AJ6" s="59">
        <f t="shared" si="18"/>
        <v>6</v>
      </c>
      <c r="AK6" s="60">
        <f t="shared" si="19"/>
        <v>3</v>
      </c>
      <c r="AL6" s="64">
        <v>3</v>
      </c>
      <c r="AM6" s="23">
        <v>2</v>
      </c>
      <c r="AN6" s="23">
        <v>6</v>
      </c>
      <c r="AO6" s="23">
        <f t="shared" si="21"/>
        <v>12</v>
      </c>
      <c r="AP6" s="94">
        <f t="shared" si="22"/>
        <v>3</v>
      </c>
    </row>
    <row r="7" spans="1:42" x14ac:dyDescent="0.2">
      <c r="A7" s="34">
        <v>6</v>
      </c>
      <c r="B7" s="47" t="s">
        <v>44</v>
      </c>
      <c r="C7" s="15">
        <v>15254.96</v>
      </c>
      <c r="D7" s="39">
        <v>4533.4790000000003</v>
      </c>
      <c r="E7" s="39">
        <f t="shared" si="0"/>
        <v>45334790</v>
      </c>
      <c r="F7" s="39">
        <v>4403.652</v>
      </c>
      <c r="G7" s="39">
        <v>39.305999999999997</v>
      </c>
      <c r="H7" s="39">
        <v>70</v>
      </c>
      <c r="I7" s="40">
        <f t="shared" si="1"/>
        <v>0.2886701767818467</v>
      </c>
      <c r="J7" s="41">
        <f t="shared" si="2"/>
        <v>3</v>
      </c>
      <c r="K7" s="15">
        <v>1793.902</v>
      </c>
      <c r="L7" s="40">
        <f t="shared" si="3"/>
        <v>0.4073668854850474</v>
      </c>
      <c r="M7" s="41">
        <f t="shared" si="4"/>
        <v>4</v>
      </c>
      <c r="N7" s="15">
        <v>1620.4559999999999</v>
      </c>
      <c r="O7" s="40">
        <f t="shared" si="5"/>
        <v>0.36798003111962524</v>
      </c>
      <c r="P7" s="53">
        <f t="shared" si="6"/>
        <v>3</v>
      </c>
      <c r="Q7" s="15">
        <f>1709.426+N7</f>
        <v>3329.8819999999996</v>
      </c>
      <c r="R7" s="40">
        <f t="shared" si="7"/>
        <v>0.75616374772575112</v>
      </c>
      <c r="S7" s="39">
        <v>170.72</v>
      </c>
      <c r="T7" s="40">
        <f t="shared" si="8"/>
        <v>3.8767822707153066E-2</v>
      </c>
      <c r="U7" s="42">
        <f t="shared" si="9"/>
        <v>4</v>
      </c>
      <c r="V7" s="41">
        <f t="shared" si="10"/>
        <v>2</v>
      </c>
      <c r="W7" s="15">
        <f>853.031+N7</f>
        <v>2473.4870000000001</v>
      </c>
      <c r="X7" s="40">
        <f t="shared" si="11"/>
        <v>0.56168993371864995</v>
      </c>
      <c r="Y7" s="41">
        <f t="shared" si="12"/>
        <v>3</v>
      </c>
      <c r="Z7" s="102">
        <v>365304.41840963799</v>
      </c>
      <c r="AA7" s="103">
        <f t="shared" si="13"/>
        <v>8.0579267800653318E-3</v>
      </c>
      <c r="AB7" s="104">
        <f t="shared" si="14"/>
        <v>3</v>
      </c>
      <c r="AC7" s="15">
        <v>2789.2449999999999</v>
      </c>
      <c r="AD7" s="39">
        <v>2023.6759999999999</v>
      </c>
      <c r="AE7" s="40">
        <f t="shared" si="15"/>
        <v>0.45954494133505552</v>
      </c>
      <c r="AF7" s="41">
        <f t="shared" si="20"/>
        <v>4</v>
      </c>
      <c r="AG7" s="57">
        <f t="shared" si="16"/>
        <v>3.4285714285714284</v>
      </c>
      <c r="AH7" s="60">
        <f t="shared" si="17"/>
        <v>3</v>
      </c>
      <c r="AI7" s="105">
        <v>1</v>
      </c>
      <c r="AJ7" s="59">
        <f t="shared" si="18"/>
        <v>3</v>
      </c>
      <c r="AK7" s="60">
        <f t="shared" si="19"/>
        <v>2</v>
      </c>
      <c r="AL7" s="63">
        <v>2</v>
      </c>
      <c r="AM7" s="23">
        <v>2</v>
      </c>
      <c r="AN7" s="23">
        <v>6</v>
      </c>
      <c r="AO7" s="23">
        <f t="shared" si="21"/>
        <v>12</v>
      </c>
      <c r="AP7" s="94">
        <f t="shared" si="22"/>
        <v>3</v>
      </c>
    </row>
    <row r="8" spans="1:42" x14ac:dyDescent="0.2">
      <c r="A8" s="34">
        <v>7</v>
      </c>
      <c r="B8" s="47" t="s">
        <v>45</v>
      </c>
      <c r="C8" s="15">
        <v>7544.51</v>
      </c>
      <c r="D8" s="39">
        <f>5458.694+1032.261</f>
        <v>6490.9549999999999</v>
      </c>
      <c r="E8" s="39">
        <f t="shared" si="0"/>
        <v>64909550</v>
      </c>
      <c r="F8" s="39">
        <f>5363.368+759.835</f>
        <v>6123.2030000000004</v>
      </c>
      <c r="G8" s="39">
        <v>48.709000000000003</v>
      </c>
      <c r="H8" s="39">
        <v>69</v>
      </c>
      <c r="I8" s="40">
        <f t="shared" si="1"/>
        <v>0.81161042930554805</v>
      </c>
      <c r="J8" s="41">
        <f t="shared" si="2"/>
        <v>4</v>
      </c>
      <c r="K8" s="15">
        <v>5.8440000000000003</v>
      </c>
      <c r="L8" s="43">
        <f t="shared" si="3"/>
        <v>9.5440245897449418E-4</v>
      </c>
      <c r="M8" s="41">
        <f t="shared" si="4"/>
        <v>1</v>
      </c>
      <c r="N8" s="15">
        <f>5059.394+759.017</f>
        <v>5818.4110000000001</v>
      </c>
      <c r="O8" s="40">
        <f t="shared" si="5"/>
        <v>0.95022343698224598</v>
      </c>
      <c r="P8" s="53">
        <f t="shared" si="6"/>
        <v>4</v>
      </c>
      <c r="Q8" s="15">
        <f>5.066+N8</f>
        <v>5823.4769999999999</v>
      </c>
      <c r="R8" s="40">
        <f t="shared" si="7"/>
        <v>0.95105078175588809</v>
      </c>
      <c r="S8" s="39">
        <v>52.941000000000003</v>
      </c>
      <c r="T8" s="40">
        <f t="shared" si="8"/>
        <v>8.6459651917468686E-3</v>
      </c>
      <c r="U8" s="42">
        <f t="shared" si="9"/>
        <v>2</v>
      </c>
      <c r="V8" s="41">
        <f t="shared" si="10"/>
        <v>1</v>
      </c>
      <c r="W8" s="15">
        <f>N8+114.681+0.004</f>
        <v>5933.0959999999995</v>
      </c>
      <c r="X8" s="40">
        <f t="shared" si="11"/>
        <v>0.96895301364334963</v>
      </c>
      <c r="Y8" s="41">
        <f t="shared" si="12"/>
        <v>4</v>
      </c>
      <c r="Z8" s="102">
        <v>254670.16244408101</v>
      </c>
      <c r="AA8" s="103">
        <f t="shared" si="13"/>
        <v>3.9234621476205121E-3</v>
      </c>
      <c r="AB8" s="104">
        <f t="shared" si="14"/>
        <v>1</v>
      </c>
      <c r="AC8" s="15">
        <v>5154.2719999999999</v>
      </c>
      <c r="AD8" s="39">
        <v>1830.9960000000001</v>
      </c>
      <c r="AE8" s="40">
        <f t="shared" si="15"/>
        <v>0.29902585297270073</v>
      </c>
      <c r="AF8" s="41">
        <f t="shared" si="20"/>
        <v>4</v>
      </c>
      <c r="AG8" s="57">
        <f t="shared" si="16"/>
        <v>2.8571428571428572</v>
      </c>
      <c r="AH8" s="60">
        <f t="shared" si="17"/>
        <v>3</v>
      </c>
      <c r="AI8" s="105">
        <v>1</v>
      </c>
      <c r="AJ8" s="59">
        <f t="shared" si="18"/>
        <v>3</v>
      </c>
      <c r="AK8" s="60">
        <f t="shared" si="19"/>
        <v>2</v>
      </c>
      <c r="AL8" s="63">
        <v>2</v>
      </c>
      <c r="AM8" s="23">
        <v>2</v>
      </c>
      <c r="AN8" s="23">
        <v>6</v>
      </c>
      <c r="AO8" s="23">
        <f t="shared" si="21"/>
        <v>12</v>
      </c>
      <c r="AP8" s="94">
        <f t="shared" si="22"/>
        <v>3</v>
      </c>
    </row>
    <row r="9" spans="1:42" x14ac:dyDescent="0.2">
      <c r="A9" s="34">
        <v>8</v>
      </c>
      <c r="B9" s="47" t="s">
        <v>46</v>
      </c>
      <c r="C9" s="15">
        <v>3799.2</v>
      </c>
      <c r="D9" s="39">
        <f>1226.63+2004.323</f>
        <v>3230.9530000000004</v>
      </c>
      <c r="E9" s="39">
        <f t="shared" si="0"/>
        <v>32309530.000000004</v>
      </c>
      <c r="F9" s="39">
        <f>1202.96+1271.378</f>
        <v>2474.3379999999997</v>
      </c>
      <c r="G9" s="39">
        <v>18.247</v>
      </c>
      <c r="H9" s="39">
        <v>71</v>
      </c>
      <c r="I9" s="40">
        <f t="shared" si="1"/>
        <v>0.65127869025057905</v>
      </c>
      <c r="J9" s="41">
        <f t="shared" si="2"/>
        <v>4</v>
      </c>
      <c r="K9" s="15">
        <f>12.398+0.89</f>
        <v>13.288</v>
      </c>
      <c r="L9" s="40">
        <f t="shared" si="3"/>
        <v>5.3703253152964561E-3</v>
      </c>
      <c r="M9" s="41">
        <f t="shared" si="4"/>
        <v>1</v>
      </c>
      <c r="N9" s="15">
        <f>941.456+1148.167</f>
        <v>2089.623</v>
      </c>
      <c r="O9" s="40">
        <f t="shared" si="5"/>
        <v>0.84451800845317015</v>
      </c>
      <c r="P9" s="53">
        <f t="shared" si="6"/>
        <v>4</v>
      </c>
      <c r="Q9" s="15">
        <f>1.193+N9</f>
        <v>2090.8160000000003</v>
      </c>
      <c r="R9" s="40">
        <f t="shared" si="7"/>
        <v>0.84500015761791658</v>
      </c>
      <c r="S9" s="39">
        <f>91.405+25.856</f>
        <v>117.261</v>
      </c>
      <c r="T9" s="40">
        <f t="shared" si="8"/>
        <v>4.7390857675871284E-2</v>
      </c>
      <c r="U9" s="42">
        <f t="shared" si="9"/>
        <v>4</v>
      </c>
      <c r="V9" s="41">
        <f t="shared" si="10"/>
        <v>2</v>
      </c>
      <c r="W9" s="15">
        <f>49.884+N9+16.804</f>
        <v>2156.3110000000001</v>
      </c>
      <c r="X9" s="40">
        <f t="shared" si="11"/>
        <v>0.8714698638585352</v>
      </c>
      <c r="Y9" s="41">
        <f t="shared" si="12"/>
        <v>4</v>
      </c>
      <c r="Z9" s="102">
        <v>69709.504238890295</v>
      </c>
      <c r="AA9" s="103">
        <f t="shared" si="13"/>
        <v>2.1575524075679929E-3</v>
      </c>
      <c r="AB9" s="104">
        <f t="shared" si="14"/>
        <v>1</v>
      </c>
      <c r="AC9" s="15">
        <v>1169.921</v>
      </c>
      <c r="AD9" s="39">
        <v>301.07299999999998</v>
      </c>
      <c r="AE9" s="40">
        <f t="shared" si="15"/>
        <v>0.12167820241211993</v>
      </c>
      <c r="AF9" s="41">
        <f t="shared" si="20"/>
        <v>2</v>
      </c>
      <c r="AG9" s="57">
        <f t="shared" si="16"/>
        <v>2.8571428571428572</v>
      </c>
      <c r="AH9" s="60">
        <f t="shared" si="17"/>
        <v>3</v>
      </c>
      <c r="AI9" s="105">
        <v>1</v>
      </c>
      <c r="AJ9" s="59">
        <f t="shared" si="18"/>
        <v>3</v>
      </c>
      <c r="AK9" s="60">
        <f t="shared" si="19"/>
        <v>2</v>
      </c>
      <c r="AL9" s="63">
        <v>2</v>
      </c>
      <c r="AM9" s="23">
        <v>2</v>
      </c>
      <c r="AN9" s="23">
        <v>6</v>
      </c>
      <c r="AO9" s="23">
        <f t="shared" si="21"/>
        <v>12</v>
      </c>
      <c r="AP9" s="94">
        <f t="shared" si="22"/>
        <v>3</v>
      </c>
    </row>
    <row r="10" spans="1:42" s="5" customFormat="1" x14ac:dyDescent="0.2">
      <c r="A10" s="34">
        <v>9</v>
      </c>
      <c r="B10" s="47" t="s">
        <v>47</v>
      </c>
      <c r="C10" s="15">
        <v>13032.67</v>
      </c>
      <c r="D10" s="39">
        <v>3043.2350000000001</v>
      </c>
      <c r="E10" s="39">
        <f t="shared" si="0"/>
        <v>30432350</v>
      </c>
      <c r="F10" s="39">
        <v>2962.317</v>
      </c>
      <c r="G10" s="39">
        <v>0</v>
      </c>
      <c r="H10" s="39">
        <v>65</v>
      </c>
      <c r="I10" s="40">
        <f t="shared" si="1"/>
        <v>0.22729931779136586</v>
      </c>
      <c r="J10" s="41">
        <f t="shared" si="2"/>
        <v>3</v>
      </c>
      <c r="K10" s="15">
        <v>691.61400000000003</v>
      </c>
      <c r="L10" s="40">
        <f t="shared" si="3"/>
        <v>0.23347062451452699</v>
      </c>
      <c r="M10" s="41">
        <f t="shared" si="4"/>
        <v>3</v>
      </c>
      <c r="N10" s="15">
        <v>1137.4079999999999</v>
      </c>
      <c r="O10" s="40">
        <f t="shared" si="5"/>
        <v>0.38395890784139575</v>
      </c>
      <c r="P10" s="53">
        <f t="shared" si="6"/>
        <v>3</v>
      </c>
      <c r="Q10" s="15">
        <f>N10+718.268</f>
        <v>1855.6759999999999</v>
      </c>
      <c r="R10" s="40">
        <f t="shared" si="7"/>
        <v>0.62642721896407438</v>
      </c>
      <c r="S10" s="39">
        <v>501.49799999999999</v>
      </c>
      <c r="T10" s="40">
        <f t="shared" si="8"/>
        <v>0.16929248287742332</v>
      </c>
      <c r="U10" s="42">
        <f t="shared" si="9"/>
        <v>8</v>
      </c>
      <c r="V10" s="41">
        <f t="shared" si="10"/>
        <v>4</v>
      </c>
      <c r="W10" s="15">
        <f>651.875+N10</f>
        <v>1789.2829999999999</v>
      </c>
      <c r="X10" s="40">
        <f t="shared" si="11"/>
        <v>0.60401469525374896</v>
      </c>
      <c r="Y10" s="41">
        <f t="shared" si="12"/>
        <v>3</v>
      </c>
      <c r="Z10" s="102">
        <v>342249.90134262497</v>
      </c>
      <c r="AA10" s="103">
        <f t="shared" si="13"/>
        <v>1.124625279817776E-2</v>
      </c>
      <c r="AB10" s="104">
        <f t="shared" si="14"/>
        <v>3</v>
      </c>
      <c r="AC10" s="15">
        <v>1429.96</v>
      </c>
      <c r="AD10" s="39">
        <v>947.75</v>
      </c>
      <c r="AE10" s="40">
        <f t="shared" si="15"/>
        <v>0.31993537491092278</v>
      </c>
      <c r="AF10" s="41">
        <f t="shared" si="20"/>
        <v>4</v>
      </c>
      <c r="AG10" s="57">
        <f t="shared" si="16"/>
        <v>3.8571428571428572</v>
      </c>
      <c r="AH10" s="60">
        <f t="shared" si="17"/>
        <v>4</v>
      </c>
      <c r="AI10" s="105">
        <v>1</v>
      </c>
      <c r="AJ10" s="59">
        <f t="shared" si="18"/>
        <v>4</v>
      </c>
      <c r="AK10" s="60">
        <f t="shared" si="19"/>
        <v>2</v>
      </c>
      <c r="AL10" s="63">
        <v>2</v>
      </c>
      <c r="AM10" s="23">
        <v>2</v>
      </c>
      <c r="AN10" s="23">
        <v>6</v>
      </c>
      <c r="AO10" s="23">
        <f t="shared" si="21"/>
        <v>12</v>
      </c>
      <c r="AP10" s="94">
        <f t="shared" si="22"/>
        <v>3</v>
      </c>
    </row>
    <row r="11" spans="1:42" x14ac:dyDescent="0.2">
      <c r="A11" s="34">
        <v>10</v>
      </c>
      <c r="B11" s="47" t="s">
        <v>48</v>
      </c>
      <c r="C11" s="15">
        <v>10485.299999999999</v>
      </c>
      <c r="D11" s="39">
        <v>1960.377</v>
      </c>
      <c r="E11" s="39">
        <f t="shared" si="0"/>
        <v>19603770</v>
      </c>
      <c r="F11" s="39">
        <v>1923.1890000000001</v>
      </c>
      <c r="G11" s="39">
        <v>2.9609999999999999</v>
      </c>
      <c r="H11" s="39">
        <v>66</v>
      </c>
      <c r="I11" s="40">
        <f t="shared" si="1"/>
        <v>0.18341764184143516</v>
      </c>
      <c r="J11" s="41">
        <f t="shared" si="2"/>
        <v>2</v>
      </c>
      <c r="K11" s="15">
        <v>703.471</v>
      </c>
      <c r="L11" s="40">
        <f t="shared" si="3"/>
        <v>0.36578360213166777</v>
      </c>
      <c r="M11" s="41">
        <f t="shared" si="4"/>
        <v>4</v>
      </c>
      <c r="N11" s="15">
        <v>193.58699999999999</v>
      </c>
      <c r="O11" s="40">
        <f t="shared" si="5"/>
        <v>0.10065937357170823</v>
      </c>
      <c r="P11" s="53">
        <f t="shared" si="6"/>
        <v>2</v>
      </c>
      <c r="Q11" s="15">
        <f>777.987+N11</f>
        <v>971.57399999999996</v>
      </c>
      <c r="R11" s="40">
        <f t="shared" si="7"/>
        <v>0.50518903758288958</v>
      </c>
      <c r="S11" s="39">
        <v>817.57600000000002</v>
      </c>
      <c r="T11" s="40">
        <f t="shared" si="8"/>
        <v>0.42511474431270146</v>
      </c>
      <c r="U11" s="42">
        <f t="shared" si="9"/>
        <v>8</v>
      </c>
      <c r="V11" s="41">
        <f t="shared" si="10"/>
        <v>4</v>
      </c>
      <c r="W11" s="15">
        <f>715.49+N11</f>
        <v>909.077</v>
      </c>
      <c r="X11" s="40">
        <f t="shared" si="11"/>
        <v>0.47269249148159642</v>
      </c>
      <c r="Y11" s="41">
        <f t="shared" si="12"/>
        <v>2</v>
      </c>
      <c r="Z11" s="102">
        <v>176112.144216293</v>
      </c>
      <c r="AA11" s="103">
        <f t="shared" si="13"/>
        <v>8.9835855152500255E-3</v>
      </c>
      <c r="AB11" s="104">
        <f t="shared" si="14"/>
        <v>3</v>
      </c>
      <c r="AC11" s="15">
        <v>894.13900000000001</v>
      </c>
      <c r="AD11" s="39">
        <v>532.31899999999996</v>
      </c>
      <c r="AE11" s="40">
        <f t="shared" si="15"/>
        <v>0.27678974869344614</v>
      </c>
      <c r="AF11" s="41">
        <f t="shared" si="20"/>
        <v>4</v>
      </c>
      <c r="AG11" s="57">
        <f t="shared" si="16"/>
        <v>3.5714285714285716</v>
      </c>
      <c r="AH11" s="60">
        <f t="shared" si="17"/>
        <v>4</v>
      </c>
      <c r="AI11" s="105">
        <v>1</v>
      </c>
      <c r="AJ11" s="59">
        <f t="shared" si="18"/>
        <v>4</v>
      </c>
      <c r="AK11" s="60">
        <f t="shared" si="19"/>
        <v>2</v>
      </c>
      <c r="AL11" s="63">
        <v>2</v>
      </c>
      <c r="AM11" s="23">
        <v>2</v>
      </c>
      <c r="AN11" s="23">
        <v>6</v>
      </c>
      <c r="AO11" s="23">
        <f t="shared" si="21"/>
        <v>12</v>
      </c>
      <c r="AP11" s="94">
        <f t="shared" si="22"/>
        <v>3</v>
      </c>
    </row>
    <row r="12" spans="1:42" x14ac:dyDescent="0.2">
      <c r="A12" s="34">
        <v>11</v>
      </c>
      <c r="B12" s="47" t="s">
        <v>49</v>
      </c>
      <c r="C12" s="15">
        <v>15990.05</v>
      </c>
      <c r="D12" s="39">
        <v>4939.9030000000002</v>
      </c>
      <c r="E12" s="39">
        <f t="shared" si="0"/>
        <v>49399030</v>
      </c>
      <c r="F12" s="39">
        <v>4867.3379999999997</v>
      </c>
      <c r="G12" s="39">
        <v>8.5060000000000002</v>
      </c>
      <c r="H12" s="39">
        <v>70</v>
      </c>
      <c r="I12" s="40">
        <f t="shared" si="1"/>
        <v>0.3043979224580286</v>
      </c>
      <c r="J12" s="41">
        <f t="shared" si="2"/>
        <v>4</v>
      </c>
      <c r="K12" s="15">
        <v>1854.19</v>
      </c>
      <c r="L12" s="40">
        <f t="shared" si="3"/>
        <v>0.380945395614605</v>
      </c>
      <c r="M12" s="41">
        <f t="shared" si="4"/>
        <v>4</v>
      </c>
      <c r="N12" s="15">
        <v>1603.7940000000001</v>
      </c>
      <c r="O12" s="40">
        <f t="shared" si="5"/>
        <v>0.32950125920985973</v>
      </c>
      <c r="P12" s="53">
        <f t="shared" si="6"/>
        <v>3</v>
      </c>
      <c r="Q12" s="15">
        <f>1905.571+N12</f>
        <v>3509.3649999999998</v>
      </c>
      <c r="R12" s="40">
        <f t="shared" si="7"/>
        <v>0.72100293836179041</v>
      </c>
      <c r="S12" s="39">
        <v>304.80700000000002</v>
      </c>
      <c r="T12" s="40">
        <f t="shared" si="8"/>
        <v>6.2622936808579971E-2</v>
      </c>
      <c r="U12" s="42">
        <f t="shared" si="9"/>
        <v>6</v>
      </c>
      <c r="V12" s="41">
        <f t="shared" si="10"/>
        <v>3</v>
      </c>
      <c r="W12" s="56">
        <v>1098.9010000000001</v>
      </c>
      <c r="X12" s="40">
        <f t="shared" si="11"/>
        <v>0.22577043139391595</v>
      </c>
      <c r="Y12" s="41">
        <f t="shared" si="12"/>
        <v>2</v>
      </c>
      <c r="Z12" s="102">
        <v>286644.53560765297</v>
      </c>
      <c r="AA12" s="103">
        <f t="shared" si="13"/>
        <v>5.8026349020953039E-3</v>
      </c>
      <c r="AB12" s="104">
        <f t="shared" si="14"/>
        <v>1</v>
      </c>
      <c r="AC12" s="15">
        <v>3590.5189999999998</v>
      </c>
      <c r="AD12" s="39">
        <v>1199.6489999999999</v>
      </c>
      <c r="AE12" s="40">
        <f t="shared" si="15"/>
        <v>0.24646921993089446</v>
      </c>
      <c r="AF12" s="41">
        <f t="shared" si="20"/>
        <v>3</v>
      </c>
      <c r="AG12" s="57">
        <f t="shared" si="16"/>
        <v>3.2857142857142856</v>
      </c>
      <c r="AH12" s="60">
        <f t="shared" si="17"/>
        <v>3</v>
      </c>
      <c r="AI12" s="105">
        <v>3</v>
      </c>
      <c r="AJ12" s="59">
        <f t="shared" si="18"/>
        <v>9</v>
      </c>
      <c r="AK12" s="60">
        <f t="shared" si="19"/>
        <v>3</v>
      </c>
      <c r="AL12" s="64">
        <v>3</v>
      </c>
      <c r="AM12" s="23">
        <v>2</v>
      </c>
      <c r="AN12" s="23">
        <v>6</v>
      </c>
      <c r="AO12" s="23">
        <f t="shared" si="21"/>
        <v>12</v>
      </c>
      <c r="AP12" s="94">
        <f t="shared" si="22"/>
        <v>3</v>
      </c>
    </row>
    <row r="13" spans="1:42" x14ac:dyDescent="0.2">
      <c r="A13" s="34">
        <v>12</v>
      </c>
      <c r="B13" s="47" t="s">
        <v>50</v>
      </c>
      <c r="C13" s="15">
        <v>14508.82</v>
      </c>
      <c r="D13" s="39">
        <v>2204.8339999999998</v>
      </c>
      <c r="E13" s="39">
        <f t="shared" si="0"/>
        <v>22048340</v>
      </c>
      <c r="F13" s="39">
        <v>2136.7280000000001</v>
      </c>
      <c r="G13" s="39">
        <v>2.9550000000000001</v>
      </c>
      <c r="H13" s="39">
        <v>73</v>
      </c>
      <c r="I13" s="40">
        <f t="shared" si="1"/>
        <v>0.14727097034769196</v>
      </c>
      <c r="J13" s="41">
        <f t="shared" si="2"/>
        <v>2</v>
      </c>
      <c r="K13" s="15">
        <v>1229.4069999999999</v>
      </c>
      <c r="L13" s="40">
        <f t="shared" si="3"/>
        <v>0.57536897536794573</v>
      </c>
      <c r="M13" s="41">
        <f t="shared" si="4"/>
        <v>4</v>
      </c>
      <c r="N13" s="15">
        <v>262.37700000000001</v>
      </c>
      <c r="O13" s="40">
        <f t="shared" si="5"/>
        <v>0.1227938230790255</v>
      </c>
      <c r="P13" s="53">
        <f t="shared" si="6"/>
        <v>2</v>
      </c>
      <c r="Q13" s="15">
        <f>1208.317+N13</f>
        <v>1470.694</v>
      </c>
      <c r="R13" s="40">
        <f t="shared" si="7"/>
        <v>0.68829256695283625</v>
      </c>
      <c r="S13" s="39">
        <v>318.85599999999999</v>
      </c>
      <c r="T13" s="40">
        <f t="shared" si="8"/>
        <v>0.14922629366021317</v>
      </c>
      <c r="U13" s="42">
        <f t="shared" si="9"/>
        <v>8</v>
      </c>
      <c r="V13" s="41">
        <f t="shared" si="10"/>
        <v>4</v>
      </c>
      <c r="W13" s="15">
        <f>337.539+N13</f>
        <v>599.91599999999994</v>
      </c>
      <c r="X13" s="40">
        <f t="shared" si="11"/>
        <v>0.28076385950855698</v>
      </c>
      <c r="Y13" s="41">
        <f t="shared" si="12"/>
        <v>2</v>
      </c>
      <c r="Z13" s="102">
        <v>199588.656558018</v>
      </c>
      <c r="AA13" s="103">
        <f t="shared" si="13"/>
        <v>9.0523212431420242E-3</v>
      </c>
      <c r="AB13" s="104">
        <f t="shared" si="14"/>
        <v>3</v>
      </c>
      <c r="AC13" s="15">
        <v>1095.9649999999999</v>
      </c>
      <c r="AD13" s="39">
        <v>477.05500000000001</v>
      </c>
      <c r="AE13" s="40">
        <f t="shared" si="15"/>
        <v>0.22326426199310348</v>
      </c>
      <c r="AF13" s="41">
        <f t="shared" si="20"/>
        <v>3</v>
      </c>
      <c r="AG13" s="57">
        <f t="shared" si="16"/>
        <v>3.4285714285714284</v>
      </c>
      <c r="AH13" s="60">
        <f t="shared" si="17"/>
        <v>3</v>
      </c>
      <c r="AI13" s="105">
        <v>3</v>
      </c>
      <c r="AJ13" s="59">
        <f t="shared" si="18"/>
        <v>9</v>
      </c>
      <c r="AK13" s="60">
        <f t="shared" si="19"/>
        <v>3</v>
      </c>
      <c r="AL13" s="64">
        <v>3</v>
      </c>
      <c r="AM13" s="23">
        <v>2</v>
      </c>
      <c r="AN13" s="23">
        <v>6</v>
      </c>
      <c r="AO13" s="23">
        <f t="shared" si="21"/>
        <v>12</v>
      </c>
      <c r="AP13" s="94">
        <f t="shared" si="22"/>
        <v>3</v>
      </c>
    </row>
    <row r="14" spans="1:42" x14ac:dyDescent="0.2">
      <c r="A14" s="34">
        <v>13</v>
      </c>
      <c r="B14" s="47" t="s">
        <v>51</v>
      </c>
      <c r="C14" s="15">
        <v>4316.6400000000003</v>
      </c>
      <c r="D14" s="39">
        <f>2488.881+507.235</f>
        <v>2996.116</v>
      </c>
      <c r="E14" s="39">
        <f t="shared" si="0"/>
        <v>29961160</v>
      </c>
      <c r="F14" s="39">
        <f>2455.663+276.902</f>
        <v>2732.5650000000001</v>
      </c>
      <c r="G14" s="39">
        <v>0</v>
      </c>
      <c r="H14" s="39">
        <v>80</v>
      </c>
      <c r="I14" s="40">
        <f t="shared" si="1"/>
        <v>0.63303055154008669</v>
      </c>
      <c r="J14" s="41">
        <f t="shared" si="2"/>
        <v>4</v>
      </c>
      <c r="K14" s="15">
        <v>32.634</v>
      </c>
      <c r="L14" s="40">
        <f t="shared" si="3"/>
        <v>1.1942625335536392E-2</v>
      </c>
      <c r="M14" s="41">
        <f t="shared" si="4"/>
        <v>1</v>
      </c>
      <c r="N14" s="15">
        <f>1780.153+261.677</f>
        <v>2041.83</v>
      </c>
      <c r="O14" s="40">
        <f t="shared" si="5"/>
        <v>0.74722101761531745</v>
      </c>
      <c r="P14" s="53">
        <f t="shared" si="6"/>
        <v>4</v>
      </c>
      <c r="Q14" s="15">
        <f>34.01+N14</f>
        <v>2075.84</v>
      </c>
      <c r="R14" s="40">
        <f t="shared" si="7"/>
        <v>0.75966719913341496</v>
      </c>
      <c r="S14" s="39">
        <f>210.954+2.162</f>
        <v>213.11600000000001</v>
      </c>
      <c r="T14" s="40">
        <f t="shared" si="8"/>
        <v>7.7991191426370468E-2</v>
      </c>
      <c r="U14" s="42">
        <f t="shared" si="9"/>
        <v>6</v>
      </c>
      <c r="V14" s="41">
        <f t="shared" si="10"/>
        <v>3</v>
      </c>
      <c r="W14" s="15">
        <f>421.864+N14+13.06</f>
        <v>2476.7539999999999</v>
      </c>
      <c r="X14" s="40">
        <f t="shared" si="11"/>
        <v>0.90638429460964332</v>
      </c>
      <c r="Y14" s="41">
        <f t="shared" si="12"/>
        <v>4</v>
      </c>
      <c r="Z14" s="102">
        <v>117907.45791559199</v>
      </c>
      <c r="AA14" s="103">
        <f t="shared" si="13"/>
        <v>3.9353435553093402E-3</v>
      </c>
      <c r="AB14" s="104">
        <f t="shared" si="14"/>
        <v>1</v>
      </c>
      <c r="AC14" s="15">
        <v>2341.2510000000002</v>
      </c>
      <c r="AD14" s="39">
        <v>825.94899999999996</v>
      </c>
      <c r="AE14" s="40">
        <f t="shared" si="15"/>
        <v>0.30226142836492453</v>
      </c>
      <c r="AF14" s="41">
        <f t="shared" si="20"/>
        <v>4</v>
      </c>
      <c r="AG14" s="57">
        <f t="shared" si="16"/>
        <v>3.4285714285714284</v>
      </c>
      <c r="AH14" s="60">
        <f t="shared" si="17"/>
        <v>3</v>
      </c>
      <c r="AI14" s="105">
        <v>1</v>
      </c>
      <c r="AJ14" s="59">
        <f t="shared" si="18"/>
        <v>3</v>
      </c>
      <c r="AK14" s="60">
        <f t="shared" si="19"/>
        <v>2</v>
      </c>
      <c r="AL14" s="63">
        <v>2</v>
      </c>
      <c r="AM14" s="23">
        <v>2</v>
      </c>
      <c r="AN14" s="23">
        <v>6</v>
      </c>
      <c r="AO14" s="23">
        <f t="shared" si="21"/>
        <v>12</v>
      </c>
      <c r="AP14" s="94">
        <f t="shared" si="22"/>
        <v>3</v>
      </c>
    </row>
    <row r="15" spans="1:42" x14ac:dyDescent="0.2">
      <c r="A15" s="34">
        <v>14</v>
      </c>
      <c r="B15" s="47" t="s">
        <v>52</v>
      </c>
      <c r="C15" s="15">
        <v>9427.44</v>
      </c>
      <c r="D15" s="39">
        <v>2722.3919999999998</v>
      </c>
      <c r="E15" s="39">
        <f t="shared" si="0"/>
        <v>27223920</v>
      </c>
      <c r="F15" s="39">
        <v>2667.7190000000001</v>
      </c>
      <c r="G15" s="39">
        <v>15.359</v>
      </c>
      <c r="H15" s="39">
        <v>67</v>
      </c>
      <c r="I15" s="40">
        <f t="shared" si="1"/>
        <v>0.28297385080149012</v>
      </c>
      <c r="J15" s="41">
        <f t="shared" si="2"/>
        <v>3</v>
      </c>
      <c r="K15" s="15">
        <v>641.01900000000001</v>
      </c>
      <c r="L15" s="40">
        <f t="shared" si="3"/>
        <v>0.24028730162359679</v>
      </c>
      <c r="M15" s="41">
        <f t="shared" si="4"/>
        <v>3</v>
      </c>
      <c r="N15" s="15">
        <v>1279.624</v>
      </c>
      <c r="O15" s="40">
        <f t="shared" si="5"/>
        <v>0.47966971034055683</v>
      </c>
      <c r="P15" s="53">
        <f t="shared" si="6"/>
        <v>4</v>
      </c>
      <c r="Q15" s="15">
        <f>505.494+N15</f>
        <v>1785.1179999999999</v>
      </c>
      <c r="R15" s="40">
        <f t="shared" si="7"/>
        <v>0.66915518463526324</v>
      </c>
      <c r="S15" s="39">
        <v>203.19800000000001</v>
      </c>
      <c r="T15" s="40">
        <f t="shared" si="8"/>
        <v>7.6169191732712485E-2</v>
      </c>
      <c r="U15" s="42">
        <f t="shared" si="9"/>
        <v>6</v>
      </c>
      <c r="V15" s="41">
        <f t="shared" si="10"/>
        <v>3</v>
      </c>
      <c r="W15" s="15">
        <f>523.194+N15</f>
        <v>1802.818</v>
      </c>
      <c r="X15" s="40">
        <f t="shared" si="11"/>
        <v>0.67579006634506855</v>
      </c>
      <c r="Y15" s="41">
        <f t="shared" si="12"/>
        <v>3</v>
      </c>
      <c r="Z15" s="102">
        <v>201395.768688768</v>
      </c>
      <c r="AA15" s="103">
        <f t="shared" si="13"/>
        <v>7.3977505329419126E-3</v>
      </c>
      <c r="AB15" s="104">
        <f t="shared" si="14"/>
        <v>3</v>
      </c>
      <c r="AC15" s="15">
        <v>1460.7170000000001</v>
      </c>
      <c r="AD15" s="39">
        <v>500.77499999999998</v>
      </c>
      <c r="AE15" s="40">
        <f t="shared" si="15"/>
        <v>0.18771654735749904</v>
      </c>
      <c r="AF15" s="41">
        <f t="shared" si="20"/>
        <v>3</v>
      </c>
      <c r="AG15" s="57">
        <f t="shared" si="16"/>
        <v>3.5714285714285716</v>
      </c>
      <c r="AH15" s="60">
        <f t="shared" si="17"/>
        <v>4</v>
      </c>
      <c r="AI15" s="105">
        <v>1</v>
      </c>
      <c r="AJ15" s="59">
        <f t="shared" si="18"/>
        <v>4</v>
      </c>
      <c r="AK15" s="60">
        <f t="shared" si="19"/>
        <v>2</v>
      </c>
      <c r="AL15" s="63">
        <v>2</v>
      </c>
      <c r="AM15" s="23">
        <v>2</v>
      </c>
      <c r="AN15" s="23">
        <v>6</v>
      </c>
      <c r="AO15" s="23">
        <f t="shared" si="21"/>
        <v>12</v>
      </c>
      <c r="AP15" s="94">
        <f t="shared" si="22"/>
        <v>3</v>
      </c>
    </row>
    <row r="16" spans="1:42" x14ac:dyDescent="0.2">
      <c r="A16" s="34">
        <v>15</v>
      </c>
      <c r="B16" s="47" t="s">
        <v>53</v>
      </c>
      <c r="C16" s="15">
        <v>4712.68</v>
      </c>
      <c r="D16" s="39">
        <v>997.83699999999999</v>
      </c>
      <c r="E16" s="39">
        <f t="shared" si="0"/>
        <v>9978370</v>
      </c>
      <c r="F16" s="39">
        <v>937.44</v>
      </c>
      <c r="G16" s="39">
        <v>5.3680000000000003</v>
      </c>
      <c r="H16" s="39">
        <v>73</v>
      </c>
      <c r="I16" s="40">
        <f t="shared" si="1"/>
        <v>0.19891866199275146</v>
      </c>
      <c r="J16" s="41">
        <f t="shared" si="2"/>
        <v>2</v>
      </c>
      <c r="K16" s="15">
        <v>311.97500000000002</v>
      </c>
      <c r="L16" s="40">
        <f t="shared" si="3"/>
        <v>0.33279463218979349</v>
      </c>
      <c r="M16" s="41">
        <f t="shared" si="4"/>
        <v>4</v>
      </c>
      <c r="N16" s="15">
        <v>253.91300000000001</v>
      </c>
      <c r="O16" s="40">
        <f t="shared" si="5"/>
        <v>0.2708578682369005</v>
      </c>
      <c r="P16" s="53">
        <f t="shared" si="6"/>
        <v>3</v>
      </c>
      <c r="Q16" s="15">
        <f>323.525+N16</f>
        <v>577.43799999999999</v>
      </c>
      <c r="R16" s="40">
        <f t="shared" si="7"/>
        <v>0.61597328895715986</v>
      </c>
      <c r="S16" s="39">
        <v>194.77</v>
      </c>
      <c r="T16" s="40">
        <f t="shared" si="8"/>
        <v>0.2077679638163509</v>
      </c>
      <c r="U16" s="42">
        <f t="shared" si="9"/>
        <v>8</v>
      </c>
      <c r="V16" s="41">
        <f t="shared" si="10"/>
        <v>4</v>
      </c>
      <c r="W16" s="15">
        <f>194.904+N16</f>
        <v>448.81700000000001</v>
      </c>
      <c r="X16" s="40">
        <f t="shared" si="11"/>
        <v>0.47876877453490357</v>
      </c>
      <c r="Y16" s="41">
        <f t="shared" si="12"/>
        <v>2</v>
      </c>
      <c r="Z16" s="102">
        <v>110936.158050752</v>
      </c>
      <c r="AA16" s="103">
        <f t="shared" si="13"/>
        <v>1.1117663310816496E-2</v>
      </c>
      <c r="AB16" s="104">
        <f t="shared" si="14"/>
        <v>3</v>
      </c>
      <c r="AC16" s="15">
        <v>491.40499999999997</v>
      </c>
      <c r="AD16" s="39">
        <v>53.585000000000001</v>
      </c>
      <c r="AE16" s="40">
        <f t="shared" si="15"/>
        <v>5.7160991636798088E-2</v>
      </c>
      <c r="AF16" s="41">
        <f t="shared" si="20"/>
        <v>2</v>
      </c>
      <c r="AG16" s="57">
        <f t="shared" si="16"/>
        <v>3.4285714285714284</v>
      </c>
      <c r="AH16" s="60">
        <f t="shared" si="17"/>
        <v>3</v>
      </c>
      <c r="AI16" s="105">
        <v>2</v>
      </c>
      <c r="AJ16" s="59">
        <f t="shared" si="18"/>
        <v>6</v>
      </c>
      <c r="AK16" s="60">
        <f t="shared" si="19"/>
        <v>3</v>
      </c>
      <c r="AL16" s="63">
        <v>2</v>
      </c>
      <c r="AM16" s="23">
        <v>2</v>
      </c>
      <c r="AN16" s="23">
        <v>6</v>
      </c>
      <c r="AO16" s="23">
        <f t="shared" si="21"/>
        <v>12</v>
      </c>
      <c r="AP16" s="94">
        <f t="shared" si="22"/>
        <v>3</v>
      </c>
    </row>
    <row r="17" spans="1:42" x14ac:dyDescent="0.2">
      <c r="A17" s="34">
        <v>16</v>
      </c>
      <c r="B17" s="47" t="s">
        <v>54</v>
      </c>
      <c r="C17" s="15">
        <v>18653.759999999998</v>
      </c>
      <c r="D17" s="39">
        <v>10650.651</v>
      </c>
      <c r="E17" s="39">
        <f t="shared" si="0"/>
        <v>106506510</v>
      </c>
      <c r="F17" s="39">
        <v>10344.918</v>
      </c>
      <c r="G17" s="39">
        <v>0</v>
      </c>
      <c r="H17" s="39">
        <v>56</v>
      </c>
      <c r="I17" s="40">
        <f t="shared" si="1"/>
        <v>0.55457548504966292</v>
      </c>
      <c r="J17" s="41">
        <f t="shared" si="2"/>
        <v>4</v>
      </c>
      <c r="K17" s="15">
        <v>201.32300000000001</v>
      </c>
      <c r="L17" s="40">
        <f t="shared" si="3"/>
        <v>1.9461053243727985E-2</v>
      </c>
      <c r="M17" s="41">
        <f t="shared" si="4"/>
        <v>1</v>
      </c>
      <c r="N17" s="15">
        <v>8396.1200000000008</v>
      </c>
      <c r="O17" s="40">
        <f t="shared" si="5"/>
        <v>0.81161783979341362</v>
      </c>
      <c r="P17" s="53">
        <f t="shared" si="6"/>
        <v>4</v>
      </c>
      <c r="Q17" s="15">
        <f>226.702+N17</f>
        <v>8622.8220000000001</v>
      </c>
      <c r="R17" s="40">
        <f t="shared" si="7"/>
        <v>0.83353217492879117</v>
      </c>
      <c r="S17" s="39">
        <v>811.87400000000002</v>
      </c>
      <c r="T17" s="40">
        <f t="shared" si="8"/>
        <v>7.8480467414048141E-2</v>
      </c>
      <c r="U17" s="42">
        <f t="shared" si="9"/>
        <v>6</v>
      </c>
      <c r="V17" s="41">
        <f t="shared" si="10"/>
        <v>3</v>
      </c>
      <c r="W17" s="15">
        <f>349.545+N17</f>
        <v>8745.6650000000009</v>
      </c>
      <c r="X17" s="40">
        <f t="shared" si="11"/>
        <v>0.84540689447707573</v>
      </c>
      <c r="Y17" s="41">
        <f t="shared" si="12"/>
        <v>4</v>
      </c>
      <c r="Z17" s="102">
        <v>729946.24438933702</v>
      </c>
      <c r="AA17" s="103">
        <f t="shared" si="13"/>
        <v>6.8535364118994888E-3</v>
      </c>
      <c r="AB17" s="104">
        <f t="shared" si="14"/>
        <v>1</v>
      </c>
      <c r="AC17" s="15">
        <v>9652.125</v>
      </c>
      <c r="AD17" s="39">
        <v>1955.4159999999999</v>
      </c>
      <c r="AE17" s="40">
        <f t="shared" si="15"/>
        <v>0.18902189461530772</v>
      </c>
      <c r="AF17" s="41">
        <f t="shared" si="20"/>
        <v>3</v>
      </c>
      <c r="AG17" s="57">
        <f t="shared" si="16"/>
        <v>3.2857142857142856</v>
      </c>
      <c r="AH17" s="60">
        <f t="shared" si="17"/>
        <v>3</v>
      </c>
      <c r="AI17" s="105">
        <v>3</v>
      </c>
      <c r="AJ17" s="59">
        <f t="shared" si="18"/>
        <v>9</v>
      </c>
      <c r="AK17" s="60">
        <f t="shared" si="19"/>
        <v>3</v>
      </c>
      <c r="AL17" s="63">
        <v>2</v>
      </c>
      <c r="AM17" s="23">
        <v>2</v>
      </c>
      <c r="AN17" s="23">
        <v>6</v>
      </c>
      <c r="AO17" s="23">
        <f t="shared" si="21"/>
        <v>12</v>
      </c>
      <c r="AP17" s="94">
        <f t="shared" si="22"/>
        <v>3</v>
      </c>
    </row>
    <row r="18" spans="1:42" x14ac:dyDescent="0.2">
      <c r="A18" s="34">
        <v>17</v>
      </c>
      <c r="B18" s="47" t="s">
        <v>55</v>
      </c>
      <c r="C18" s="15">
        <v>10455.64</v>
      </c>
      <c r="D18" s="39">
        <v>2571.8090000000002</v>
      </c>
      <c r="E18" s="39">
        <f t="shared" si="0"/>
        <v>25718090.000000004</v>
      </c>
      <c r="F18" s="39">
        <v>2501.6559999999999</v>
      </c>
      <c r="G18" s="39">
        <v>5.4290000000000003</v>
      </c>
      <c r="H18" s="39">
        <v>71</v>
      </c>
      <c r="I18" s="40">
        <f t="shared" si="1"/>
        <v>0.23926378490460651</v>
      </c>
      <c r="J18" s="41">
        <f t="shared" si="2"/>
        <v>3</v>
      </c>
      <c r="K18" s="15">
        <v>444.25</v>
      </c>
      <c r="L18" s="40">
        <f t="shared" si="3"/>
        <v>0.17758236943848396</v>
      </c>
      <c r="M18" s="41">
        <f t="shared" si="4"/>
        <v>3</v>
      </c>
      <c r="N18" s="15">
        <v>1181.454</v>
      </c>
      <c r="O18" s="40">
        <f t="shared" si="5"/>
        <v>0.47226876916730359</v>
      </c>
      <c r="P18" s="53">
        <f t="shared" si="6"/>
        <v>4</v>
      </c>
      <c r="Q18" s="15">
        <f>N18+438.151</f>
        <v>1619.605</v>
      </c>
      <c r="R18" s="40">
        <f t="shared" si="7"/>
        <v>0.64741315352710371</v>
      </c>
      <c r="S18" s="39">
        <v>493.86900000000003</v>
      </c>
      <c r="T18" s="40">
        <f t="shared" si="8"/>
        <v>0.19741683109108529</v>
      </c>
      <c r="U18" s="42">
        <f t="shared" si="9"/>
        <v>8</v>
      </c>
      <c r="V18" s="41">
        <f t="shared" si="10"/>
        <v>4</v>
      </c>
      <c r="W18" s="15">
        <f>N18+527.451</f>
        <v>1708.905</v>
      </c>
      <c r="X18" s="40">
        <f t="shared" si="11"/>
        <v>0.68310950826172745</v>
      </c>
      <c r="Y18" s="41">
        <f t="shared" si="12"/>
        <v>3</v>
      </c>
      <c r="Z18" s="102">
        <v>303798.49908490101</v>
      </c>
      <c r="AA18" s="103">
        <f t="shared" si="13"/>
        <v>1.1812638461289347E-2</v>
      </c>
      <c r="AB18" s="104">
        <f t="shared" si="14"/>
        <v>3</v>
      </c>
      <c r="AC18" s="15">
        <v>1725.251</v>
      </c>
      <c r="AD18" s="39">
        <v>27.994</v>
      </c>
      <c r="AE18" s="40">
        <f t="shared" si="15"/>
        <v>1.1190187619720697E-2</v>
      </c>
      <c r="AF18" s="41">
        <f t="shared" si="20"/>
        <v>1</v>
      </c>
      <c r="AG18" s="57">
        <f t="shared" si="16"/>
        <v>3.5714285714285716</v>
      </c>
      <c r="AH18" s="60">
        <f t="shared" si="17"/>
        <v>4</v>
      </c>
      <c r="AI18" s="105">
        <v>3</v>
      </c>
      <c r="AJ18" s="59">
        <f t="shared" si="18"/>
        <v>12</v>
      </c>
      <c r="AK18" s="60">
        <f t="shared" si="19"/>
        <v>4</v>
      </c>
      <c r="AL18" s="65">
        <v>4</v>
      </c>
      <c r="AM18" s="23">
        <v>2</v>
      </c>
      <c r="AN18" s="23">
        <v>6</v>
      </c>
      <c r="AO18" s="23">
        <f t="shared" si="21"/>
        <v>12</v>
      </c>
      <c r="AP18" s="94">
        <f t="shared" si="22"/>
        <v>3</v>
      </c>
    </row>
    <row r="19" spans="1:42" x14ac:dyDescent="0.2">
      <c r="A19" s="34">
        <v>18</v>
      </c>
      <c r="B19" s="47" t="s">
        <v>56</v>
      </c>
      <c r="C19" s="15">
        <v>6666.25</v>
      </c>
      <c r="D19" s="39">
        <v>1637.2809999999999</v>
      </c>
      <c r="E19" s="39">
        <f t="shared" si="0"/>
        <v>16372810</v>
      </c>
      <c r="F19" s="39">
        <v>1613.3489999999999</v>
      </c>
      <c r="G19" s="39">
        <v>0</v>
      </c>
      <c r="H19" s="39">
        <v>67</v>
      </c>
      <c r="I19" s="40">
        <f t="shared" si="1"/>
        <v>0.24201747609225577</v>
      </c>
      <c r="J19" s="41">
        <f t="shared" si="2"/>
        <v>3</v>
      </c>
      <c r="K19" s="15">
        <v>214.142</v>
      </c>
      <c r="L19" s="40">
        <f t="shared" si="3"/>
        <v>0.13273135570790945</v>
      </c>
      <c r="M19" s="41">
        <f t="shared" si="4"/>
        <v>2</v>
      </c>
      <c r="N19" s="15">
        <v>709.11699999999996</v>
      </c>
      <c r="O19" s="40">
        <f t="shared" si="5"/>
        <v>0.43953106240497253</v>
      </c>
      <c r="P19" s="53">
        <f t="shared" si="6"/>
        <v>4</v>
      </c>
      <c r="Q19" s="15">
        <f>N19+248.535</f>
        <v>957.65199999999993</v>
      </c>
      <c r="R19" s="40">
        <f t="shared" si="7"/>
        <v>0.59358018630810816</v>
      </c>
      <c r="S19" s="39">
        <v>278.57</v>
      </c>
      <c r="T19" s="40">
        <f t="shared" si="8"/>
        <v>0.17266567865973204</v>
      </c>
      <c r="U19" s="42">
        <f t="shared" si="9"/>
        <v>8</v>
      </c>
      <c r="V19" s="41">
        <f t="shared" si="10"/>
        <v>4</v>
      </c>
      <c r="W19" s="15">
        <f>382.857+N19</f>
        <v>1091.9739999999999</v>
      </c>
      <c r="X19" s="40">
        <f t="shared" si="11"/>
        <v>0.67683681584083788</v>
      </c>
      <c r="Y19" s="41">
        <f t="shared" si="12"/>
        <v>3</v>
      </c>
      <c r="Z19" s="102">
        <v>189885.84789705899</v>
      </c>
      <c r="AA19" s="103">
        <f t="shared" si="13"/>
        <v>1.15976333871253E-2</v>
      </c>
      <c r="AB19" s="104">
        <f t="shared" si="14"/>
        <v>3</v>
      </c>
      <c r="AC19" s="15">
        <v>1032.5530000000001</v>
      </c>
      <c r="AD19" s="39">
        <v>125.41800000000001</v>
      </c>
      <c r="AE19" s="40">
        <f t="shared" si="15"/>
        <v>7.7737674861421802E-2</v>
      </c>
      <c r="AF19" s="41">
        <f t="shared" si="20"/>
        <v>2</v>
      </c>
      <c r="AG19" s="57">
        <f t="shared" si="16"/>
        <v>3.5714285714285716</v>
      </c>
      <c r="AH19" s="60">
        <f t="shared" si="17"/>
        <v>4</v>
      </c>
      <c r="AI19" s="105">
        <v>2</v>
      </c>
      <c r="AJ19" s="59">
        <f t="shared" si="18"/>
        <v>8</v>
      </c>
      <c r="AK19" s="60">
        <f t="shared" si="19"/>
        <v>3</v>
      </c>
      <c r="AL19" s="64">
        <v>3</v>
      </c>
      <c r="AM19" s="23">
        <v>2</v>
      </c>
      <c r="AN19" s="23">
        <v>6</v>
      </c>
      <c r="AO19" s="23">
        <f t="shared" si="21"/>
        <v>12</v>
      </c>
      <c r="AP19" s="94">
        <f t="shared" si="22"/>
        <v>3</v>
      </c>
    </row>
    <row r="20" spans="1:42" x14ac:dyDescent="0.2">
      <c r="A20" s="34">
        <v>19</v>
      </c>
      <c r="B20" s="47" t="s">
        <v>57</v>
      </c>
      <c r="C20" s="15">
        <v>12234.14</v>
      </c>
      <c r="D20" s="39">
        <v>1151.0070000000001</v>
      </c>
      <c r="E20" s="39">
        <f t="shared" si="0"/>
        <v>11510070</v>
      </c>
      <c r="F20" s="39">
        <v>1054.9580000000001</v>
      </c>
      <c r="G20" s="39">
        <v>21.718</v>
      </c>
      <c r="H20" s="39">
        <v>70</v>
      </c>
      <c r="I20" s="40">
        <f t="shared" si="1"/>
        <v>8.6230662719243054E-2</v>
      </c>
      <c r="J20" s="41">
        <f t="shared" si="2"/>
        <v>1</v>
      </c>
      <c r="K20" s="15">
        <v>461.91899999999998</v>
      </c>
      <c r="L20" s="40">
        <f t="shared" si="3"/>
        <v>0.43785534590002628</v>
      </c>
      <c r="M20" s="41">
        <f t="shared" si="4"/>
        <v>4</v>
      </c>
      <c r="N20" s="15">
        <v>18.145</v>
      </c>
      <c r="O20" s="40">
        <f t="shared" si="5"/>
        <v>1.7199736861562259E-2</v>
      </c>
      <c r="P20" s="53">
        <f t="shared" si="6"/>
        <v>1</v>
      </c>
      <c r="Q20" s="15">
        <f>N20+540.503</f>
        <v>558.64800000000002</v>
      </c>
      <c r="R20" s="40">
        <f t="shared" si="7"/>
        <v>0.5295452520384698</v>
      </c>
      <c r="S20" s="39">
        <v>261.75400000000002</v>
      </c>
      <c r="T20" s="40">
        <f t="shared" si="8"/>
        <v>0.24811793455284475</v>
      </c>
      <c r="U20" s="42">
        <f t="shared" si="9"/>
        <v>8</v>
      </c>
      <c r="V20" s="41">
        <f t="shared" si="10"/>
        <v>4</v>
      </c>
      <c r="W20" s="15">
        <f>305.775+N20</f>
        <v>323.91999999999996</v>
      </c>
      <c r="X20" s="40">
        <f t="shared" si="11"/>
        <v>0.30704539896375016</v>
      </c>
      <c r="Y20" s="41">
        <f t="shared" si="12"/>
        <v>2</v>
      </c>
      <c r="Z20" s="102">
        <v>195456.88071970601</v>
      </c>
      <c r="AA20" s="103">
        <f t="shared" si="13"/>
        <v>1.6981380714427105E-2</v>
      </c>
      <c r="AB20" s="104">
        <f t="shared" si="14"/>
        <v>3</v>
      </c>
      <c r="AC20" s="15">
        <v>490.83600000000001</v>
      </c>
      <c r="AD20" s="39">
        <v>175.952</v>
      </c>
      <c r="AE20" s="40">
        <f t="shared" si="15"/>
        <v>0.16678578673274194</v>
      </c>
      <c r="AF20" s="41">
        <f t="shared" si="20"/>
        <v>3</v>
      </c>
      <c r="AG20" s="57">
        <f t="shared" si="16"/>
        <v>3.1428571428571428</v>
      </c>
      <c r="AH20" s="60">
        <f t="shared" si="17"/>
        <v>3</v>
      </c>
      <c r="AI20" s="105">
        <v>2</v>
      </c>
      <c r="AJ20" s="59">
        <f t="shared" si="18"/>
        <v>6</v>
      </c>
      <c r="AK20" s="60">
        <f t="shared" si="19"/>
        <v>3</v>
      </c>
      <c r="AL20" s="64">
        <v>3</v>
      </c>
      <c r="AM20" s="23">
        <v>2</v>
      </c>
      <c r="AN20" s="23">
        <v>6</v>
      </c>
      <c r="AO20" s="23">
        <f t="shared" si="21"/>
        <v>12</v>
      </c>
      <c r="AP20" s="94">
        <f t="shared" si="22"/>
        <v>3</v>
      </c>
    </row>
    <row r="21" spans="1:42" x14ac:dyDescent="0.2">
      <c r="A21" s="34">
        <v>20</v>
      </c>
      <c r="B21" s="47" t="s">
        <v>58</v>
      </c>
      <c r="C21" s="15">
        <v>5787.57</v>
      </c>
      <c r="D21" s="39">
        <v>2341.5990000000002</v>
      </c>
      <c r="E21" s="39">
        <f t="shared" si="0"/>
        <v>23415990</v>
      </c>
      <c r="F21" s="39">
        <v>2308.527</v>
      </c>
      <c r="G21" s="39">
        <v>12.855</v>
      </c>
      <c r="H21" s="39">
        <v>72</v>
      </c>
      <c r="I21" s="40">
        <f t="shared" si="1"/>
        <v>0.39887673064861423</v>
      </c>
      <c r="J21" s="41">
        <f t="shared" si="2"/>
        <v>4</v>
      </c>
      <c r="K21" s="15">
        <v>257.68400000000003</v>
      </c>
      <c r="L21" s="40">
        <f t="shared" si="3"/>
        <v>0.11162269273870308</v>
      </c>
      <c r="M21" s="41">
        <f t="shared" si="4"/>
        <v>2</v>
      </c>
      <c r="N21" s="15">
        <v>1525.846</v>
      </c>
      <c r="O21" s="40">
        <f t="shared" si="5"/>
        <v>0.66096086378890084</v>
      </c>
      <c r="P21" s="53">
        <f t="shared" si="6"/>
        <v>4</v>
      </c>
      <c r="Q21" s="15">
        <f>235.605+N21</f>
        <v>1761.451</v>
      </c>
      <c r="R21" s="40">
        <f t="shared" si="7"/>
        <v>0.76301944919855824</v>
      </c>
      <c r="S21" s="39">
        <v>97.253</v>
      </c>
      <c r="T21" s="40">
        <f t="shared" si="8"/>
        <v>4.2127729067063108E-2</v>
      </c>
      <c r="U21" s="42">
        <f t="shared" si="9"/>
        <v>4</v>
      </c>
      <c r="V21" s="41">
        <f t="shared" si="10"/>
        <v>2</v>
      </c>
      <c r="W21" s="15">
        <f>378.926+N21</f>
        <v>1904.7719999999999</v>
      </c>
      <c r="X21" s="40">
        <f t="shared" si="11"/>
        <v>0.82510276033158803</v>
      </c>
      <c r="Y21" s="41">
        <f t="shared" si="12"/>
        <v>4</v>
      </c>
      <c r="Z21" s="102">
        <v>138291.67972652501</v>
      </c>
      <c r="AA21" s="103">
        <f t="shared" si="13"/>
        <v>5.9058651684820935E-3</v>
      </c>
      <c r="AB21" s="104">
        <f t="shared" si="14"/>
        <v>1</v>
      </c>
      <c r="AC21" s="15">
        <v>1890.0609999999999</v>
      </c>
      <c r="AD21" s="39">
        <v>507.31599999999997</v>
      </c>
      <c r="AE21" s="40">
        <f t="shared" si="15"/>
        <v>0.21975744706472999</v>
      </c>
      <c r="AF21" s="41">
        <f t="shared" si="20"/>
        <v>3</v>
      </c>
      <c r="AG21" s="57">
        <f t="shared" si="16"/>
        <v>3.1428571428571428</v>
      </c>
      <c r="AH21" s="60">
        <f t="shared" si="17"/>
        <v>3</v>
      </c>
      <c r="AI21" s="105">
        <v>2</v>
      </c>
      <c r="AJ21" s="59">
        <f t="shared" si="18"/>
        <v>6</v>
      </c>
      <c r="AK21" s="60">
        <f t="shared" si="19"/>
        <v>3</v>
      </c>
      <c r="AL21" s="64">
        <v>3</v>
      </c>
      <c r="AM21" s="23">
        <v>2</v>
      </c>
      <c r="AN21" s="23">
        <v>6</v>
      </c>
      <c r="AO21" s="23">
        <f t="shared" si="21"/>
        <v>12</v>
      </c>
      <c r="AP21" s="94">
        <f t="shared" si="22"/>
        <v>3</v>
      </c>
    </row>
    <row r="22" spans="1:42" x14ac:dyDescent="0.2">
      <c r="A22" s="34">
        <v>21</v>
      </c>
      <c r="B22" s="47" t="s">
        <v>59</v>
      </c>
      <c r="C22" s="15">
        <v>11054.75</v>
      </c>
      <c r="D22" s="39">
        <v>4153.817</v>
      </c>
      <c r="E22" s="39">
        <f t="shared" si="0"/>
        <v>41538170</v>
      </c>
      <c r="F22" s="39">
        <v>4060.7379999999998</v>
      </c>
      <c r="G22" s="39">
        <v>0</v>
      </c>
      <c r="H22" s="39">
        <v>72</v>
      </c>
      <c r="I22" s="40">
        <f t="shared" si="1"/>
        <v>0.36732969990275671</v>
      </c>
      <c r="J22" s="41">
        <f t="shared" si="2"/>
        <v>4</v>
      </c>
      <c r="K22" s="15">
        <v>228.774</v>
      </c>
      <c r="L22" s="40">
        <f t="shared" si="3"/>
        <v>5.6338035105933951E-2</v>
      </c>
      <c r="M22" s="41">
        <f t="shared" si="4"/>
        <v>2</v>
      </c>
      <c r="N22" s="15">
        <v>3007.3589999999999</v>
      </c>
      <c r="O22" s="40">
        <f t="shared" si="5"/>
        <v>0.74059419740943644</v>
      </c>
      <c r="P22" s="53">
        <f t="shared" si="6"/>
        <v>4</v>
      </c>
      <c r="Q22" s="15">
        <f>N22+244.665</f>
        <v>3252.0239999999999</v>
      </c>
      <c r="R22" s="40">
        <f t="shared" si="7"/>
        <v>0.80084556058529266</v>
      </c>
      <c r="S22" s="39">
        <v>474.447</v>
      </c>
      <c r="T22" s="40">
        <f t="shared" si="8"/>
        <v>0.11683762902211373</v>
      </c>
      <c r="U22" s="42">
        <f t="shared" si="9"/>
        <v>8</v>
      </c>
      <c r="V22" s="41">
        <f t="shared" si="10"/>
        <v>4</v>
      </c>
      <c r="W22" s="15">
        <f>N22+214.878</f>
        <v>3222.2370000000001</v>
      </c>
      <c r="X22" s="40">
        <f t="shared" si="11"/>
        <v>0.7935101944523385</v>
      </c>
      <c r="Y22" s="41">
        <f t="shared" si="12"/>
        <v>3</v>
      </c>
      <c r="Z22" s="102">
        <v>303117.32237466902</v>
      </c>
      <c r="AA22" s="103">
        <f t="shared" si="13"/>
        <v>7.2973200883589481E-3</v>
      </c>
      <c r="AB22" s="104">
        <f t="shared" si="14"/>
        <v>3</v>
      </c>
      <c r="AC22" s="15">
        <v>3660.2280000000001</v>
      </c>
      <c r="AD22" s="39">
        <v>659.01300000000003</v>
      </c>
      <c r="AE22" s="40">
        <f t="shared" si="15"/>
        <v>0.16228897308814311</v>
      </c>
      <c r="AF22" s="41">
        <f t="shared" si="20"/>
        <v>3</v>
      </c>
      <c r="AG22" s="57">
        <f t="shared" si="16"/>
        <v>3.8571428571428572</v>
      </c>
      <c r="AH22" s="60">
        <f t="shared" si="17"/>
        <v>4</v>
      </c>
      <c r="AI22" s="105">
        <v>1</v>
      </c>
      <c r="AJ22" s="59">
        <f t="shared" si="18"/>
        <v>4</v>
      </c>
      <c r="AK22" s="60">
        <f t="shared" si="19"/>
        <v>2</v>
      </c>
      <c r="AL22" s="63">
        <v>2</v>
      </c>
      <c r="AM22" s="23">
        <v>2</v>
      </c>
      <c r="AN22" s="23">
        <v>6</v>
      </c>
      <c r="AO22" s="23">
        <f t="shared" si="21"/>
        <v>12</v>
      </c>
      <c r="AP22" s="94">
        <f t="shared" si="22"/>
        <v>3</v>
      </c>
    </row>
    <row r="23" spans="1:42" x14ac:dyDescent="0.2">
      <c r="A23" s="34">
        <v>22</v>
      </c>
      <c r="B23" s="47" t="s">
        <v>60</v>
      </c>
      <c r="C23" s="15">
        <v>10929.79</v>
      </c>
      <c r="D23" s="39">
        <f>1984.319+357.178+1342.102</f>
        <v>3683.5990000000002</v>
      </c>
      <c r="E23" s="39">
        <f t="shared" si="0"/>
        <v>36835990</v>
      </c>
      <c r="F23" s="39">
        <f>1935.564+357.178+1217.851</f>
        <v>3510.5930000000003</v>
      </c>
      <c r="G23" s="39">
        <v>432.149</v>
      </c>
      <c r="H23" s="39">
        <v>71</v>
      </c>
      <c r="I23" s="40">
        <f t="shared" si="1"/>
        <v>0.32119491774315884</v>
      </c>
      <c r="J23" s="41">
        <f t="shared" si="2"/>
        <v>4</v>
      </c>
      <c r="K23" s="15">
        <f>220.846+0.002</f>
        <v>220.84800000000001</v>
      </c>
      <c r="L23" s="40">
        <f t="shared" si="3"/>
        <v>6.2909029898937305E-2</v>
      </c>
      <c r="M23" s="41">
        <f t="shared" si="4"/>
        <v>2</v>
      </c>
      <c r="N23" s="15">
        <f>1130.688+1034.969</f>
        <v>2165.6570000000002</v>
      </c>
      <c r="O23" s="40">
        <f t="shared" si="5"/>
        <v>0.61689207492865161</v>
      </c>
      <c r="P23" s="53">
        <f t="shared" si="6"/>
        <v>4</v>
      </c>
      <c r="Q23" s="15">
        <f>211.362+N23+0.001</f>
        <v>2377.0200000000004</v>
      </c>
      <c r="R23" s="40">
        <f t="shared" si="7"/>
        <v>0.67709928208710046</v>
      </c>
      <c r="S23" s="39">
        <f>294.477+23.1</f>
        <v>317.577</v>
      </c>
      <c r="T23" s="40">
        <f t="shared" si="8"/>
        <v>9.0462494513035258E-2</v>
      </c>
      <c r="U23" s="42">
        <f t="shared" si="9"/>
        <v>6</v>
      </c>
      <c r="V23" s="41">
        <f t="shared" si="10"/>
        <v>3</v>
      </c>
      <c r="W23" s="15">
        <f>231.043+N23+102.523</f>
        <v>2499.2230000000004</v>
      </c>
      <c r="X23" s="40">
        <f t="shared" si="11"/>
        <v>0.71190907063279629</v>
      </c>
      <c r="Y23" s="41">
        <f t="shared" si="12"/>
        <v>3</v>
      </c>
      <c r="Z23" s="102">
        <v>296520.36402942002</v>
      </c>
      <c r="AA23" s="103">
        <f t="shared" si="13"/>
        <v>8.0497460236420969E-3</v>
      </c>
      <c r="AB23" s="104">
        <f t="shared" si="14"/>
        <v>3</v>
      </c>
      <c r="AC23" s="15">
        <v>1436.336</v>
      </c>
      <c r="AD23" s="39">
        <v>289.625</v>
      </c>
      <c r="AE23" s="40">
        <f t="shared" si="15"/>
        <v>8.2500306928202718E-2</v>
      </c>
      <c r="AF23" s="41">
        <f t="shared" si="20"/>
        <v>2</v>
      </c>
      <c r="AG23" s="57">
        <f t="shared" si="16"/>
        <v>3.4285714285714284</v>
      </c>
      <c r="AH23" s="60">
        <f t="shared" si="17"/>
        <v>3</v>
      </c>
      <c r="AI23" s="105">
        <v>4</v>
      </c>
      <c r="AJ23" s="59">
        <f t="shared" si="18"/>
        <v>12</v>
      </c>
      <c r="AK23" s="60">
        <f t="shared" si="19"/>
        <v>4</v>
      </c>
      <c r="AL23" s="65">
        <v>4</v>
      </c>
      <c r="AM23" s="23">
        <v>2</v>
      </c>
      <c r="AN23" s="23">
        <v>6</v>
      </c>
      <c r="AO23" s="23">
        <f t="shared" si="21"/>
        <v>12</v>
      </c>
      <c r="AP23" s="94">
        <f t="shared" si="22"/>
        <v>3</v>
      </c>
    </row>
    <row r="24" spans="1:42" x14ac:dyDescent="0.2">
      <c r="A24" s="34">
        <v>23</v>
      </c>
      <c r="B24" s="47" t="s">
        <v>61</v>
      </c>
      <c r="C24" s="15">
        <v>8797.7000000000007</v>
      </c>
      <c r="D24" s="39">
        <v>3556.8110000000001</v>
      </c>
      <c r="E24" s="39">
        <f t="shared" si="0"/>
        <v>35568110</v>
      </c>
      <c r="F24" s="39">
        <v>3448.5309999999999</v>
      </c>
      <c r="G24" s="39">
        <v>6.1180000000000003</v>
      </c>
      <c r="H24" s="39">
        <v>72</v>
      </c>
      <c r="I24" s="40">
        <f t="shared" si="1"/>
        <v>0.39198097229957823</v>
      </c>
      <c r="J24" s="41">
        <f t="shared" si="2"/>
        <v>4</v>
      </c>
      <c r="K24" s="15">
        <v>469.95800000000003</v>
      </c>
      <c r="L24" s="40">
        <f t="shared" si="3"/>
        <v>0.13627773681025343</v>
      </c>
      <c r="M24" s="41">
        <f t="shared" si="4"/>
        <v>2</v>
      </c>
      <c r="N24" s="15">
        <v>2232.8560000000002</v>
      </c>
      <c r="O24" s="40">
        <f t="shared" si="5"/>
        <v>0.6474803329301666</v>
      </c>
      <c r="P24" s="53">
        <f t="shared" si="6"/>
        <v>4</v>
      </c>
      <c r="Q24" s="15">
        <f>477.027+N24</f>
        <v>2709.8830000000003</v>
      </c>
      <c r="R24" s="40">
        <f t="shared" si="7"/>
        <v>0.7858079280714021</v>
      </c>
      <c r="S24" s="39">
        <v>190.839</v>
      </c>
      <c r="T24" s="40">
        <f t="shared" si="8"/>
        <v>5.5339215451448751E-2</v>
      </c>
      <c r="U24" s="42">
        <f t="shared" si="9"/>
        <v>6</v>
      </c>
      <c r="V24" s="41">
        <f t="shared" si="10"/>
        <v>3</v>
      </c>
      <c r="W24" s="15">
        <f>370.379+N24</f>
        <v>2603.2350000000001</v>
      </c>
      <c r="X24" s="40">
        <f t="shared" si="11"/>
        <v>0.7548822962588998</v>
      </c>
      <c r="Y24" s="41">
        <f t="shared" si="12"/>
        <v>3</v>
      </c>
      <c r="Z24" s="102">
        <v>273945.17403373501</v>
      </c>
      <c r="AA24" s="103">
        <f t="shared" si="13"/>
        <v>7.7019884956983937E-3</v>
      </c>
      <c r="AB24" s="104">
        <f t="shared" si="14"/>
        <v>3</v>
      </c>
      <c r="AC24" s="15">
        <v>2788.0230000000001</v>
      </c>
      <c r="AD24" s="39">
        <v>194.31899999999999</v>
      </c>
      <c r="AE24" s="40">
        <f t="shared" si="15"/>
        <v>5.6348340786265223E-2</v>
      </c>
      <c r="AF24" s="41">
        <f t="shared" si="20"/>
        <v>2</v>
      </c>
      <c r="AG24" s="57">
        <f t="shared" si="16"/>
        <v>3.4285714285714284</v>
      </c>
      <c r="AH24" s="60">
        <f t="shared" si="17"/>
        <v>3</v>
      </c>
      <c r="AI24" s="105">
        <v>4</v>
      </c>
      <c r="AJ24" s="59">
        <f t="shared" si="18"/>
        <v>12</v>
      </c>
      <c r="AK24" s="60">
        <f t="shared" si="19"/>
        <v>4</v>
      </c>
      <c r="AL24" s="65">
        <v>4</v>
      </c>
      <c r="AM24" s="23">
        <v>2</v>
      </c>
      <c r="AN24" s="23">
        <v>6</v>
      </c>
      <c r="AO24" s="23">
        <f t="shared" si="21"/>
        <v>12</v>
      </c>
      <c r="AP24" s="94">
        <f t="shared" si="22"/>
        <v>3</v>
      </c>
    </row>
    <row r="25" spans="1:42" x14ac:dyDescent="0.2">
      <c r="A25" s="34">
        <v>24</v>
      </c>
      <c r="B25" s="47" t="s">
        <v>62</v>
      </c>
      <c r="C25" s="15">
        <v>8600.08</v>
      </c>
      <c r="D25" s="39">
        <v>2923.17</v>
      </c>
      <c r="E25" s="39">
        <f t="shared" si="0"/>
        <v>29231700</v>
      </c>
      <c r="F25" s="39">
        <v>2876.317</v>
      </c>
      <c r="G25" s="39">
        <v>0</v>
      </c>
      <c r="H25" s="39">
        <v>70</v>
      </c>
      <c r="I25" s="40">
        <f t="shared" si="1"/>
        <v>0.33445235393159134</v>
      </c>
      <c r="J25" s="41">
        <f t="shared" si="2"/>
        <v>4</v>
      </c>
      <c r="K25" s="15">
        <v>914.57399999999996</v>
      </c>
      <c r="L25" s="40">
        <f t="shared" si="3"/>
        <v>0.31796703909895885</v>
      </c>
      <c r="M25" s="41">
        <f t="shared" si="4"/>
        <v>4</v>
      </c>
      <c r="N25" s="15">
        <v>950.33</v>
      </c>
      <c r="O25" s="40">
        <f t="shared" si="5"/>
        <v>0.33039821410505171</v>
      </c>
      <c r="P25" s="53">
        <f t="shared" si="6"/>
        <v>3</v>
      </c>
      <c r="Q25" s="15">
        <f>753.612+N25</f>
        <v>1703.942</v>
      </c>
      <c r="R25" s="40">
        <f t="shared" si="7"/>
        <v>0.59240410566707358</v>
      </c>
      <c r="S25" s="39">
        <v>433.05200000000002</v>
      </c>
      <c r="T25" s="40">
        <f t="shared" si="8"/>
        <v>0.15055781403788249</v>
      </c>
      <c r="U25" s="42">
        <f t="shared" si="9"/>
        <v>8</v>
      </c>
      <c r="V25" s="41">
        <f t="shared" si="10"/>
        <v>4</v>
      </c>
      <c r="W25" s="15">
        <f>758.553+N25</f>
        <v>1708.883</v>
      </c>
      <c r="X25" s="40">
        <f t="shared" si="11"/>
        <v>0.59412192745097292</v>
      </c>
      <c r="Y25" s="41">
        <f t="shared" si="12"/>
        <v>3</v>
      </c>
      <c r="Z25" s="102">
        <v>158868.32231561901</v>
      </c>
      <c r="AA25" s="103">
        <f t="shared" si="13"/>
        <v>5.4347958659817595E-3</v>
      </c>
      <c r="AB25" s="104">
        <f t="shared" si="14"/>
        <v>1</v>
      </c>
      <c r="AC25" s="15">
        <v>1816.8920000000001</v>
      </c>
      <c r="AD25" s="39">
        <v>769.34</v>
      </c>
      <c r="AE25" s="40">
        <f t="shared" si="15"/>
        <v>0.26747399539063327</v>
      </c>
      <c r="AF25" s="41">
        <f t="shared" si="20"/>
        <v>4</v>
      </c>
      <c r="AG25" s="57">
        <f t="shared" si="16"/>
        <v>3.8571428571428572</v>
      </c>
      <c r="AH25" s="60">
        <f t="shared" si="17"/>
        <v>4</v>
      </c>
      <c r="AI25" s="105">
        <v>4</v>
      </c>
      <c r="AJ25" s="59">
        <f t="shared" si="18"/>
        <v>16</v>
      </c>
      <c r="AK25" s="60">
        <f t="shared" si="19"/>
        <v>4</v>
      </c>
      <c r="AL25" s="65">
        <v>4</v>
      </c>
      <c r="AM25" s="23">
        <v>2</v>
      </c>
      <c r="AN25" s="23">
        <v>6</v>
      </c>
      <c r="AO25" s="23">
        <f t="shared" si="21"/>
        <v>12</v>
      </c>
      <c r="AP25" s="94">
        <f t="shared" si="22"/>
        <v>3</v>
      </c>
    </row>
    <row r="26" spans="1:42" x14ac:dyDescent="0.2">
      <c r="A26" s="34">
        <v>25</v>
      </c>
      <c r="B26" s="47" t="s">
        <v>63</v>
      </c>
      <c r="C26" s="15">
        <v>3738.95</v>
      </c>
      <c r="D26" s="39">
        <f>2354.048+134.417</f>
        <v>2488.4649999999997</v>
      </c>
      <c r="E26" s="39">
        <f t="shared" si="0"/>
        <v>24884649.999999996</v>
      </c>
      <c r="F26" s="39">
        <f>2274.783+132.795</f>
        <v>2407.578</v>
      </c>
      <c r="G26" s="39">
        <v>18.253</v>
      </c>
      <c r="H26" s="39">
        <v>65</v>
      </c>
      <c r="I26" s="40">
        <f t="shared" si="1"/>
        <v>0.64391821233233937</v>
      </c>
      <c r="J26" s="41">
        <f t="shared" si="2"/>
        <v>4</v>
      </c>
      <c r="K26" s="15">
        <v>104.563</v>
      </c>
      <c r="L26" s="40">
        <f t="shared" si="3"/>
        <v>4.3430783966293095E-2</v>
      </c>
      <c r="M26" s="41">
        <f t="shared" si="4"/>
        <v>1</v>
      </c>
      <c r="N26" s="15">
        <f>1642+132.495</f>
        <v>1774.4949999999999</v>
      </c>
      <c r="O26" s="40">
        <f t="shared" si="5"/>
        <v>0.73704569488506699</v>
      </c>
      <c r="P26" s="53">
        <f t="shared" si="6"/>
        <v>4</v>
      </c>
      <c r="Q26" s="15">
        <f>37.249+N26</f>
        <v>1811.7439999999999</v>
      </c>
      <c r="R26" s="40">
        <f t="shared" si="7"/>
        <v>0.75251726008461617</v>
      </c>
      <c r="S26" s="39">
        <v>187.24100000000001</v>
      </c>
      <c r="T26" s="40">
        <f t="shared" si="8"/>
        <v>7.7771519759692112E-2</v>
      </c>
      <c r="U26" s="42">
        <f t="shared" si="9"/>
        <v>6</v>
      </c>
      <c r="V26" s="41">
        <f t="shared" si="10"/>
        <v>3</v>
      </c>
      <c r="W26" s="15">
        <f>N26+241.035</f>
        <v>2015.53</v>
      </c>
      <c r="X26" s="40">
        <f t="shared" si="11"/>
        <v>0.83716083134170527</v>
      </c>
      <c r="Y26" s="41">
        <f t="shared" si="12"/>
        <v>4</v>
      </c>
      <c r="Z26" s="102">
        <v>72422.389045694901</v>
      </c>
      <c r="AA26" s="103">
        <f t="shared" si="13"/>
        <v>2.9103237958217178E-3</v>
      </c>
      <c r="AB26" s="104">
        <f t="shared" si="14"/>
        <v>1</v>
      </c>
      <c r="AC26" s="15">
        <v>2021.9949999999999</v>
      </c>
      <c r="AD26" s="39">
        <v>103.97</v>
      </c>
      <c r="AE26" s="40">
        <f t="shared" si="15"/>
        <v>4.3184478342965418E-2</v>
      </c>
      <c r="AF26" s="41">
        <f t="shared" si="20"/>
        <v>1</v>
      </c>
      <c r="AG26" s="57">
        <f t="shared" si="16"/>
        <v>3</v>
      </c>
      <c r="AH26" s="60">
        <f t="shared" si="17"/>
        <v>3</v>
      </c>
      <c r="AI26" s="105">
        <v>1</v>
      </c>
      <c r="AJ26" s="59">
        <f t="shared" si="18"/>
        <v>3</v>
      </c>
      <c r="AK26" s="60">
        <f t="shared" si="19"/>
        <v>2</v>
      </c>
      <c r="AL26" s="63">
        <v>2</v>
      </c>
      <c r="AM26" s="23">
        <v>2</v>
      </c>
      <c r="AN26" s="23">
        <v>6</v>
      </c>
      <c r="AO26" s="23">
        <f t="shared" si="21"/>
        <v>12</v>
      </c>
      <c r="AP26" s="94">
        <f t="shared" si="22"/>
        <v>3</v>
      </c>
    </row>
    <row r="27" spans="1:42" ht="15.75" thickBot="1" x14ac:dyDescent="0.25">
      <c r="A27" s="37">
        <v>26</v>
      </c>
      <c r="B27" s="51" t="s">
        <v>64</v>
      </c>
      <c r="C27" s="44">
        <v>8155.45</v>
      </c>
      <c r="D27" s="52">
        <v>3218.0309999999999</v>
      </c>
      <c r="E27" s="52">
        <f t="shared" si="0"/>
        <v>32180310</v>
      </c>
      <c r="F27" s="52">
        <v>3163.826</v>
      </c>
      <c r="G27" s="52">
        <v>0</v>
      </c>
      <c r="H27" s="52">
        <v>62</v>
      </c>
      <c r="I27" s="45">
        <f t="shared" si="1"/>
        <v>0.38794008914284311</v>
      </c>
      <c r="J27" s="46">
        <f t="shared" si="2"/>
        <v>4</v>
      </c>
      <c r="K27" s="44">
        <v>174.58099999999999</v>
      </c>
      <c r="L27" s="45">
        <f t="shared" si="3"/>
        <v>5.5180341776064797E-2</v>
      </c>
      <c r="M27" s="46">
        <f t="shared" si="4"/>
        <v>2</v>
      </c>
      <c r="N27" s="44">
        <v>2280.2869999999998</v>
      </c>
      <c r="O27" s="45">
        <f t="shared" si="5"/>
        <v>0.72073717075464949</v>
      </c>
      <c r="P27" s="54">
        <f t="shared" si="6"/>
        <v>4</v>
      </c>
      <c r="Q27" s="44">
        <f>187.201+N27</f>
        <v>2467.4879999999998</v>
      </c>
      <c r="R27" s="45">
        <f t="shared" si="7"/>
        <v>0.77990635388924667</v>
      </c>
      <c r="S27" s="52">
        <v>80.203999999999994</v>
      </c>
      <c r="T27" s="45">
        <f t="shared" si="8"/>
        <v>2.5350319518203591E-2</v>
      </c>
      <c r="U27" s="55">
        <f t="shared" si="9"/>
        <v>4</v>
      </c>
      <c r="V27" s="46">
        <f t="shared" si="10"/>
        <v>2</v>
      </c>
      <c r="W27" s="44">
        <f>505.368+N27</f>
        <v>2785.6549999999997</v>
      </c>
      <c r="X27" s="45">
        <f t="shared" si="11"/>
        <v>0.88047035456437861</v>
      </c>
      <c r="Y27" s="46">
        <f t="shared" si="12"/>
        <v>4</v>
      </c>
      <c r="Z27" s="106">
        <v>190308.17305934799</v>
      </c>
      <c r="AA27" s="107">
        <f t="shared" si="13"/>
        <v>5.9138079483804845E-3</v>
      </c>
      <c r="AB27" s="108">
        <f t="shared" si="14"/>
        <v>1</v>
      </c>
      <c r="AC27" s="44">
        <v>2568.8589999999999</v>
      </c>
      <c r="AD27" s="52">
        <v>426.37599999999998</v>
      </c>
      <c r="AE27" s="45">
        <f t="shared" si="15"/>
        <v>0.13476594477698836</v>
      </c>
      <c r="AF27" s="46">
        <f t="shared" si="20"/>
        <v>2</v>
      </c>
      <c r="AG27" s="57">
        <f t="shared" si="16"/>
        <v>3</v>
      </c>
      <c r="AH27" s="61">
        <f t="shared" si="17"/>
        <v>3</v>
      </c>
      <c r="AI27" s="105">
        <v>3</v>
      </c>
      <c r="AJ27" s="59">
        <f t="shared" si="18"/>
        <v>9</v>
      </c>
      <c r="AK27" s="61">
        <f t="shared" si="19"/>
        <v>3</v>
      </c>
      <c r="AL27" s="67">
        <v>3</v>
      </c>
      <c r="AM27" s="23">
        <v>2</v>
      </c>
      <c r="AN27" s="23">
        <v>6</v>
      </c>
      <c r="AO27" s="23">
        <f t="shared" si="21"/>
        <v>12</v>
      </c>
      <c r="AP27" s="94">
        <f t="shared" si="22"/>
        <v>3</v>
      </c>
    </row>
  </sheetData>
  <sortState xmlns:xlrd2="http://schemas.microsoft.com/office/spreadsheetml/2017/richdata2" ref="A2:AP27">
    <sortCondition ref="A2:A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4DF7D-E88F-4277-BCCD-05785E15B0DD}">
  <dimension ref="A1:AJ28"/>
  <sheetViews>
    <sheetView topLeftCell="R1" zoomScale="70" zoomScaleNormal="70" workbookViewId="0">
      <selection activeCell="Y9" sqref="Y9"/>
    </sheetView>
  </sheetViews>
  <sheetFormatPr defaultColWidth="8.7109375" defaultRowHeight="12.75" x14ac:dyDescent="0.2"/>
  <cols>
    <col min="1" max="1" width="8.140625" style="2" customWidth="1"/>
    <col min="2" max="2" width="25.5703125" style="2" customWidth="1"/>
    <col min="3" max="3" width="14.5703125" style="2" customWidth="1"/>
    <col min="4" max="4" width="15.5703125" style="6" customWidth="1"/>
    <col min="5" max="6" width="14.140625" style="6" customWidth="1"/>
    <col min="7" max="7" width="14.7109375" style="2" customWidth="1"/>
    <col min="8" max="8" width="14.140625" style="2" customWidth="1"/>
    <col min="9" max="9" width="15.7109375" style="2" customWidth="1"/>
    <col min="10" max="11" width="14.7109375" style="2" customWidth="1"/>
    <col min="12" max="12" width="16.140625" style="2" customWidth="1"/>
    <col min="13" max="13" width="15.140625" style="6" customWidth="1"/>
    <col min="14" max="18" width="15.140625" style="2" customWidth="1"/>
    <col min="19" max="19" width="15.140625" style="3" customWidth="1"/>
    <col min="20" max="20" width="19.5703125" style="2" customWidth="1"/>
    <col min="21" max="21" width="17.7109375" style="2" customWidth="1"/>
    <col min="22" max="22" width="15.5703125" style="3" customWidth="1"/>
    <col min="23" max="23" width="19.140625" style="2" customWidth="1"/>
    <col min="24" max="24" width="16.5703125" style="2" customWidth="1"/>
    <col min="25" max="25" width="20.85546875" style="2" customWidth="1"/>
    <col min="26" max="26" width="17.5703125" style="2" customWidth="1"/>
    <col min="27" max="27" width="15.7109375" style="3" customWidth="1"/>
    <col min="28" max="28" width="15.42578125" style="1" customWidth="1"/>
    <col min="29" max="29" width="14.5703125" style="1" customWidth="1"/>
    <col min="30" max="30" width="15.140625" style="1" customWidth="1"/>
    <col min="31" max="31" width="16" style="1" customWidth="1"/>
    <col min="32" max="32" width="15.140625" style="1" customWidth="1"/>
    <col min="33" max="33" width="14.5703125" style="1" customWidth="1"/>
    <col min="34" max="34" width="18" style="1" customWidth="1"/>
    <col min="35" max="35" width="16.28515625" style="1" customWidth="1"/>
    <col min="36" max="36" width="14.42578125" style="3" customWidth="1"/>
    <col min="37" max="16384" width="8.7109375" style="2"/>
  </cols>
  <sheetData>
    <row r="1" spans="1:36" ht="114.75" x14ac:dyDescent="0.2">
      <c r="A1" s="32" t="s">
        <v>0</v>
      </c>
      <c r="B1" s="33" t="s">
        <v>1</v>
      </c>
      <c r="C1" s="12" t="s">
        <v>2</v>
      </c>
      <c r="D1" s="13" t="s">
        <v>3</v>
      </c>
      <c r="E1" s="13" t="s">
        <v>4</v>
      </c>
      <c r="F1" s="13" t="s">
        <v>66</v>
      </c>
      <c r="G1" s="13" t="s">
        <v>6</v>
      </c>
      <c r="H1" s="13" t="s">
        <v>7</v>
      </c>
      <c r="I1" s="14" t="s">
        <v>8</v>
      </c>
      <c r="J1" s="12" t="s">
        <v>67</v>
      </c>
      <c r="K1" s="13" t="s">
        <v>10</v>
      </c>
      <c r="L1" s="14" t="s">
        <v>11</v>
      </c>
      <c r="M1" s="12" t="s">
        <v>12</v>
      </c>
      <c r="N1" s="13" t="s">
        <v>13</v>
      </c>
      <c r="O1" s="14" t="s">
        <v>14</v>
      </c>
      <c r="P1" s="12" t="s">
        <v>68</v>
      </c>
      <c r="Q1" s="13" t="s">
        <v>69</v>
      </c>
      <c r="R1" s="13" t="s">
        <v>70</v>
      </c>
      <c r="S1" s="14" t="s">
        <v>17</v>
      </c>
      <c r="T1" s="12" t="s">
        <v>22</v>
      </c>
      <c r="U1" s="13" t="s">
        <v>23</v>
      </c>
      <c r="V1" s="14" t="s">
        <v>21</v>
      </c>
      <c r="W1" s="20" t="s">
        <v>25</v>
      </c>
      <c r="X1" s="13" t="s">
        <v>26</v>
      </c>
      <c r="Y1" s="13" t="s">
        <v>74</v>
      </c>
      <c r="Z1" s="14" t="s">
        <v>24</v>
      </c>
      <c r="AA1" s="68" t="s">
        <v>29</v>
      </c>
      <c r="AB1" s="22" t="s">
        <v>30</v>
      </c>
      <c r="AC1" s="11" t="s">
        <v>31</v>
      </c>
      <c r="AD1" s="24" t="s">
        <v>32</v>
      </c>
      <c r="AE1" s="22" t="s">
        <v>33</v>
      </c>
      <c r="AF1" s="22" t="s">
        <v>34</v>
      </c>
      <c r="AG1" s="10" t="s">
        <v>35</v>
      </c>
      <c r="AH1" s="10" t="s">
        <v>36</v>
      </c>
      <c r="AI1" s="10" t="s">
        <v>37</v>
      </c>
      <c r="AJ1" s="10" t="s">
        <v>38</v>
      </c>
    </row>
    <row r="2" spans="1:36" ht="15" x14ac:dyDescent="0.25">
      <c r="A2" s="34">
        <v>1</v>
      </c>
      <c r="B2" s="35" t="s">
        <v>39</v>
      </c>
      <c r="C2" s="15">
        <v>24016.080000000002</v>
      </c>
      <c r="D2" s="39">
        <v>6385.7330000000002</v>
      </c>
      <c r="E2" s="39">
        <v>6168.7169999999996</v>
      </c>
      <c r="F2" s="39">
        <v>36.640999999999998</v>
      </c>
      <c r="G2" s="39">
        <v>67</v>
      </c>
      <c r="H2" s="40">
        <f t="shared" ref="H2:H27" si="0">E2/C2</f>
        <v>0.25685778028720752</v>
      </c>
      <c r="I2" s="41">
        <f t="shared" ref="I2:I27" si="1">IF(H2&lt;10%,1,IF(H2&lt;20%,2,IF(H2&lt;30%,3,4)))</f>
        <v>3</v>
      </c>
      <c r="J2" s="15">
        <f>1687.589+12.365+3.022+1.171</f>
        <v>1704.1469999999999</v>
      </c>
      <c r="K2" s="40">
        <f t="shared" ref="K2:K27" si="2">J2/E2</f>
        <v>0.27625631067205708</v>
      </c>
      <c r="L2" s="41">
        <f t="shared" ref="L2:L27" si="3">IF(K2&lt;5%,1,IF(K2&lt;15%,2,IF(K2&lt;25%,3,4)))</f>
        <v>4</v>
      </c>
      <c r="M2" s="15">
        <f>906.724+13.734</f>
        <v>920.45800000000008</v>
      </c>
      <c r="N2" s="40">
        <f t="shared" ref="N2:N27" si="4">M2/E2</f>
        <v>0.14921384787144557</v>
      </c>
      <c r="O2" s="53">
        <f t="shared" ref="O2:O27" si="5">IF(N2&lt;5%,1,IF(N2&lt;20%,2,IF(N2&lt;40%,3,4)))</f>
        <v>2</v>
      </c>
      <c r="P2" s="15">
        <v>3356.2060000000001</v>
      </c>
      <c r="Q2" s="40">
        <f t="shared" ref="Q2:Q27" si="6">P2/E2</f>
        <v>0.54406872612246604</v>
      </c>
      <c r="R2" s="42">
        <f t="shared" ref="R2:R27" si="7">S2*2</f>
        <v>8</v>
      </c>
      <c r="S2" s="41">
        <f t="shared" ref="S2:S27" si="8">IF(Q2&lt;5%,1,IF(Q2&lt;15%,2,IF(Q2&lt;30%,3,4)))</f>
        <v>4</v>
      </c>
      <c r="T2" s="15">
        <v>2661.2779999999998</v>
      </c>
      <c r="U2" s="40">
        <f t="shared" ref="U2:U27" si="9">T2/E2</f>
        <v>0.43141515488552967</v>
      </c>
      <c r="V2" s="41">
        <f t="shared" ref="V2:V27" si="10">IF(U2&lt;10%,1,IF(U2&lt;50%,2,IF(U2&lt;80%,3,IF(U2&gt;80%,4))))</f>
        <v>2</v>
      </c>
      <c r="W2" s="15">
        <v>2752.9920000000002</v>
      </c>
      <c r="X2" s="39">
        <v>986.7</v>
      </c>
      <c r="Y2" s="40">
        <f t="shared" ref="Y2:Y27" si="11">X2/E2</f>
        <v>0.15995222345262397</v>
      </c>
      <c r="Z2" s="41">
        <f t="shared" ref="Z2:Z27" si="12">IF(Y2&lt;5%,1,IF(Y2&lt;15%,2,IF(Y2&lt;25%,3,IF(Y2&lt;40,4))))</f>
        <v>3</v>
      </c>
      <c r="AA2" s="57">
        <f t="shared" ref="AA2:AA27" si="13">(Z2+V2+R2+O2+L2+I2)/6</f>
        <v>3.6666666666666665</v>
      </c>
      <c r="AB2" s="60">
        <f t="shared" ref="AB2:AB27" si="14">IF(AA2&lt;1.5,1,IF(AA2&lt;2.5,2,IF(AA2&lt;3.5,3,4)))</f>
        <v>4</v>
      </c>
      <c r="AC2" s="88">
        <v>1</v>
      </c>
      <c r="AD2" s="59">
        <f t="shared" ref="AD2:AD27" si="15">AB2*AC2</f>
        <v>4</v>
      </c>
      <c r="AE2" s="60">
        <f t="shared" ref="AE2:AE27" si="16">IF(AD2&lt;3,1,IF(AD2&lt;5,2,IF(AD2&lt;12,3,4)))</f>
        <v>2</v>
      </c>
      <c r="AF2" s="63">
        <f t="shared" ref="AF2:AF27" si="17">AE2</f>
        <v>2</v>
      </c>
      <c r="AG2" s="23">
        <v>1</v>
      </c>
      <c r="AH2" s="23">
        <v>5</v>
      </c>
      <c r="AI2" s="23">
        <f>AG2*AH2</f>
        <v>5</v>
      </c>
      <c r="AJ2" s="109">
        <f>IF(AI2&lt;6,1,IF(AI2&lt;12,2,IF(AI2&lt;18,3,4)))</f>
        <v>1</v>
      </c>
    </row>
    <row r="3" spans="1:36" ht="15" x14ac:dyDescent="0.25">
      <c r="A3" s="34">
        <v>2</v>
      </c>
      <c r="B3" s="35" t="s">
        <v>40</v>
      </c>
      <c r="C3" s="15">
        <v>3218.24</v>
      </c>
      <c r="D3" s="39">
        <v>1530.242</v>
      </c>
      <c r="E3" s="39">
        <v>1499.578</v>
      </c>
      <c r="F3" s="39">
        <v>0.13700000000000001</v>
      </c>
      <c r="G3" s="39">
        <v>71</v>
      </c>
      <c r="H3" s="40">
        <f t="shared" si="0"/>
        <v>0.46596214079745452</v>
      </c>
      <c r="I3" s="41">
        <f t="shared" si="1"/>
        <v>4</v>
      </c>
      <c r="J3" s="15">
        <v>362.15199999999999</v>
      </c>
      <c r="K3" s="40">
        <f t="shared" si="2"/>
        <v>0.24150260940077808</v>
      </c>
      <c r="L3" s="41">
        <f t="shared" si="3"/>
        <v>3</v>
      </c>
      <c r="M3" s="15">
        <v>532.70000000000005</v>
      </c>
      <c r="N3" s="40">
        <f t="shared" si="4"/>
        <v>0.35523327229393875</v>
      </c>
      <c r="O3" s="53">
        <f t="shared" si="5"/>
        <v>3</v>
      </c>
      <c r="P3" s="15">
        <v>67.436999999999998</v>
      </c>
      <c r="Q3" s="40">
        <f t="shared" si="6"/>
        <v>4.4970651743357133E-2</v>
      </c>
      <c r="R3" s="42">
        <f t="shared" si="7"/>
        <v>2</v>
      </c>
      <c r="S3" s="41">
        <f t="shared" si="8"/>
        <v>1</v>
      </c>
      <c r="T3" s="15">
        <f>569.513+M3</f>
        <v>1102.2130000000002</v>
      </c>
      <c r="U3" s="40">
        <f t="shared" si="9"/>
        <v>0.73501545101355192</v>
      </c>
      <c r="V3" s="41">
        <f t="shared" si="10"/>
        <v>3</v>
      </c>
      <c r="W3" s="15">
        <v>1269.4590000000001</v>
      </c>
      <c r="X3" s="39">
        <v>413.60700000000003</v>
      </c>
      <c r="Y3" s="40">
        <f t="shared" si="11"/>
        <v>0.27581559612104206</v>
      </c>
      <c r="Z3" s="41">
        <f t="shared" si="12"/>
        <v>4</v>
      </c>
      <c r="AA3" s="57">
        <f t="shared" si="13"/>
        <v>3.1666666666666665</v>
      </c>
      <c r="AB3" s="60">
        <f t="shared" si="14"/>
        <v>3</v>
      </c>
      <c r="AC3" s="88">
        <v>1</v>
      </c>
      <c r="AD3" s="59">
        <f t="shared" si="15"/>
        <v>3</v>
      </c>
      <c r="AE3" s="60">
        <f t="shared" si="16"/>
        <v>2</v>
      </c>
      <c r="AF3" s="63">
        <f t="shared" si="17"/>
        <v>2</v>
      </c>
      <c r="AG3" s="23">
        <v>1</v>
      </c>
      <c r="AH3" s="23">
        <v>5</v>
      </c>
      <c r="AI3" s="23">
        <f t="shared" ref="AI3:AI27" si="18">AG3*AH3</f>
        <v>5</v>
      </c>
      <c r="AJ3" s="109">
        <f t="shared" ref="AJ3:AJ27" si="19">IF(AI3&lt;6,1,IF(AI3&lt;12,2,IF(AI3&lt;18,3,4)))</f>
        <v>1</v>
      </c>
    </row>
    <row r="4" spans="1:36" ht="15" x14ac:dyDescent="0.25">
      <c r="A4" s="34">
        <v>3</v>
      </c>
      <c r="B4" s="36" t="s">
        <v>41</v>
      </c>
      <c r="C4" s="15">
        <v>1150.71</v>
      </c>
      <c r="D4" s="39">
        <v>53.204999999999998</v>
      </c>
      <c r="E4" s="39">
        <v>50.284999999999997</v>
      </c>
      <c r="F4" s="39">
        <v>14.334</v>
      </c>
      <c r="G4" s="39">
        <v>80</v>
      </c>
      <c r="H4" s="40">
        <f t="shared" si="0"/>
        <v>4.3699107507538817E-2</v>
      </c>
      <c r="I4" s="41">
        <f t="shared" si="1"/>
        <v>1</v>
      </c>
      <c r="J4" s="15">
        <v>38.387</v>
      </c>
      <c r="K4" s="40">
        <f t="shared" si="2"/>
        <v>0.76338868449835939</v>
      </c>
      <c r="L4" s="41">
        <f t="shared" si="3"/>
        <v>4</v>
      </c>
      <c r="M4" s="15">
        <v>3.2050000000000001</v>
      </c>
      <c r="N4" s="40">
        <f t="shared" si="4"/>
        <v>6.3736700805409177E-2</v>
      </c>
      <c r="O4" s="53">
        <f t="shared" si="5"/>
        <v>2</v>
      </c>
      <c r="P4" s="15">
        <v>3.5619999999999998</v>
      </c>
      <c r="Q4" s="40">
        <f t="shared" si="6"/>
        <v>7.0836233469225421E-2</v>
      </c>
      <c r="R4" s="42">
        <f t="shared" si="7"/>
        <v>4</v>
      </c>
      <c r="S4" s="41">
        <f t="shared" si="8"/>
        <v>2</v>
      </c>
      <c r="T4" s="15">
        <f>6.484+M4</f>
        <v>9.6890000000000001</v>
      </c>
      <c r="U4" s="40">
        <f t="shared" si="9"/>
        <v>0.19268171422889532</v>
      </c>
      <c r="V4" s="41">
        <f t="shared" si="10"/>
        <v>2</v>
      </c>
      <c r="W4" s="15">
        <v>30.716000000000001</v>
      </c>
      <c r="X4" s="39">
        <v>5.35</v>
      </c>
      <c r="Y4" s="40">
        <f t="shared" si="11"/>
        <v>0.10639355672665805</v>
      </c>
      <c r="Z4" s="41">
        <f t="shared" si="12"/>
        <v>2</v>
      </c>
      <c r="AA4" s="57">
        <f t="shared" si="13"/>
        <v>2.5</v>
      </c>
      <c r="AB4" s="60">
        <f t="shared" si="14"/>
        <v>3</v>
      </c>
      <c r="AC4" s="88">
        <v>1</v>
      </c>
      <c r="AD4" s="59">
        <f t="shared" si="15"/>
        <v>3</v>
      </c>
      <c r="AE4" s="60">
        <f t="shared" si="16"/>
        <v>2</v>
      </c>
      <c r="AF4" s="63">
        <f t="shared" si="17"/>
        <v>2</v>
      </c>
      <c r="AG4" s="23">
        <v>1</v>
      </c>
      <c r="AH4" s="23">
        <v>5</v>
      </c>
      <c r="AI4" s="23">
        <f t="shared" si="18"/>
        <v>5</v>
      </c>
      <c r="AJ4" s="109">
        <f t="shared" si="19"/>
        <v>1</v>
      </c>
    </row>
    <row r="5" spans="1:36" ht="15" x14ac:dyDescent="0.25">
      <c r="A5" s="34">
        <v>4</v>
      </c>
      <c r="B5" s="35" t="s">
        <v>42</v>
      </c>
      <c r="C5" s="15">
        <v>2072.1999999999998</v>
      </c>
      <c r="D5" s="39">
        <v>913.41800000000001</v>
      </c>
      <c r="E5" s="39">
        <v>870.41700000000003</v>
      </c>
      <c r="F5" s="39">
        <v>5.0350000000000001</v>
      </c>
      <c r="G5" s="39">
        <v>62</v>
      </c>
      <c r="H5" s="40">
        <f t="shared" si="0"/>
        <v>0.42004487983785355</v>
      </c>
      <c r="I5" s="41">
        <f t="shared" si="1"/>
        <v>4</v>
      </c>
      <c r="J5" s="15">
        <v>47.435000000000002</v>
      </c>
      <c r="K5" s="40">
        <f t="shared" si="2"/>
        <v>5.4496867593348937E-2</v>
      </c>
      <c r="L5" s="41">
        <f t="shared" si="3"/>
        <v>2</v>
      </c>
      <c r="M5" s="15">
        <v>598.63</v>
      </c>
      <c r="N5" s="40">
        <f t="shared" si="4"/>
        <v>0.68775081369044944</v>
      </c>
      <c r="O5" s="53">
        <f t="shared" si="5"/>
        <v>4</v>
      </c>
      <c r="P5" s="15">
        <v>56.530999999999999</v>
      </c>
      <c r="Q5" s="40">
        <f t="shared" si="6"/>
        <v>6.4947031135651076E-2</v>
      </c>
      <c r="R5" s="42">
        <f t="shared" si="7"/>
        <v>4</v>
      </c>
      <c r="S5" s="41">
        <f t="shared" si="8"/>
        <v>2</v>
      </c>
      <c r="T5" s="15">
        <f>88.824+M5</f>
        <v>687.45399999999995</v>
      </c>
      <c r="U5" s="40">
        <f t="shared" si="9"/>
        <v>0.78979845292543682</v>
      </c>
      <c r="V5" s="41">
        <f t="shared" si="10"/>
        <v>3</v>
      </c>
      <c r="W5" s="15">
        <v>819.81700000000001</v>
      </c>
      <c r="X5" s="39">
        <v>6.2889999999999997</v>
      </c>
      <c r="Y5" s="40">
        <f t="shared" si="11"/>
        <v>7.225272484337966E-3</v>
      </c>
      <c r="Z5" s="41">
        <f t="shared" si="12"/>
        <v>1</v>
      </c>
      <c r="AA5" s="57">
        <f t="shared" si="13"/>
        <v>3</v>
      </c>
      <c r="AB5" s="60">
        <f t="shared" si="14"/>
        <v>3</v>
      </c>
      <c r="AC5" s="88">
        <v>2</v>
      </c>
      <c r="AD5" s="59">
        <f t="shared" si="15"/>
        <v>6</v>
      </c>
      <c r="AE5" s="60">
        <f t="shared" si="16"/>
        <v>3</v>
      </c>
      <c r="AF5" s="64">
        <f t="shared" si="17"/>
        <v>3</v>
      </c>
      <c r="AG5" s="23">
        <v>1</v>
      </c>
      <c r="AH5" s="23">
        <v>5</v>
      </c>
      <c r="AI5" s="23">
        <f t="shared" si="18"/>
        <v>5</v>
      </c>
      <c r="AJ5" s="109">
        <f t="shared" si="19"/>
        <v>1</v>
      </c>
    </row>
    <row r="6" spans="1:36" ht="15" x14ac:dyDescent="0.25">
      <c r="A6" s="34">
        <v>5</v>
      </c>
      <c r="B6" s="35" t="s">
        <v>43</v>
      </c>
      <c r="C6" s="15">
        <v>8249.25</v>
      </c>
      <c r="D6" s="39">
        <f>4484.424+544.68</f>
        <v>5029.1040000000003</v>
      </c>
      <c r="E6" s="39">
        <f>4107.924+346.657</f>
        <v>4454.5810000000001</v>
      </c>
      <c r="F6" s="39">
        <v>3.2559999999999998</v>
      </c>
      <c r="G6" s="39">
        <v>75</v>
      </c>
      <c r="H6" s="40">
        <f t="shared" si="0"/>
        <v>0.53999830287601902</v>
      </c>
      <c r="I6" s="41">
        <f t="shared" si="1"/>
        <v>4</v>
      </c>
      <c r="J6" s="15">
        <v>242.732</v>
      </c>
      <c r="K6" s="40">
        <f t="shared" si="2"/>
        <v>5.4490422331527927E-2</v>
      </c>
      <c r="L6" s="41">
        <f t="shared" si="3"/>
        <v>2</v>
      </c>
      <c r="M6" s="15">
        <f>2747.98+345.901</f>
        <v>3093.8809999999999</v>
      </c>
      <c r="N6" s="40">
        <f t="shared" si="4"/>
        <v>0.69453917214660588</v>
      </c>
      <c r="O6" s="53">
        <f t="shared" si="5"/>
        <v>4</v>
      </c>
      <c r="P6" s="15">
        <v>338.99099999999999</v>
      </c>
      <c r="Q6" s="40">
        <f t="shared" si="6"/>
        <v>7.6099413165907182E-2</v>
      </c>
      <c r="R6" s="42">
        <f t="shared" si="7"/>
        <v>4</v>
      </c>
      <c r="S6" s="41">
        <f t="shared" si="8"/>
        <v>2</v>
      </c>
      <c r="T6" s="15">
        <f>604.656+M6</f>
        <v>3698.5369999999998</v>
      </c>
      <c r="U6" s="40">
        <f t="shared" si="9"/>
        <v>0.83027719105343456</v>
      </c>
      <c r="V6" s="41">
        <f t="shared" si="10"/>
        <v>4</v>
      </c>
      <c r="W6" s="15">
        <v>3300.3150000000001</v>
      </c>
      <c r="X6" s="39">
        <v>314.87799999999999</v>
      </c>
      <c r="Y6" s="40">
        <f t="shared" si="11"/>
        <v>7.0686333911090624E-2</v>
      </c>
      <c r="Z6" s="41">
        <f t="shared" si="12"/>
        <v>2</v>
      </c>
      <c r="AA6" s="57">
        <f t="shared" si="13"/>
        <v>3.3333333333333335</v>
      </c>
      <c r="AB6" s="60">
        <f t="shared" si="14"/>
        <v>3</v>
      </c>
      <c r="AC6" s="88">
        <v>2</v>
      </c>
      <c r="AD6" s="59">
        <f t="shared" si="15"/>
        <v>6</v>
      </c>
      <c r="AE6" s="60">
        <f t="shared" si="16"/>
        <v>3</v>
      </c>
      <c r="AF6" s="64">
        <f t="shared" si="17"/>
        <v>3</v>
      </c>
      <c r="AG6" s="23">
        <v>1</v>
      </c>
      <c r="AH6" s="23">
        <v>5</v>
      </c>
      <c r="AI6" s="23">
        <f t="shared" si="18"/>
        <v>5</v>
      </c>
      <c r="AJ6" s="109">
        <f t="shared" si="19"/>
        <v>1</v>
      </c>
    </row>
    <row r="7" spans="1:36" ht="15" x14ac:dyDescent="0.25">
      <c r="A7" s="34">
        <v>6</v>
      </c>
      <c r="B7" s="35" t="s">
        <v>44</v>
      </c>
      <c r="C7" s="15">
        <v>15254.96</v>
      </c>
      <c r="D7" s="39">
        <v>4533.4790000000003</v>
      </c>
      <c r="E7" s="39">
        <v>4403.652</v>
      </c>
      <c r="F7" s="39">
        <v>39.305999999999997</v>
      </c>
      <c r="G7" s="39">
        <v>70</v>
      </c>
      <c r="H7" s="40">
        <f t="shared" si="0"/>
        <v>0.2886701767818467</v>
      </c>
      <c r="I7" s="41">
        <f t="shared" si="1"/>
        <v>3</v>
      </c>
      <c r="J7" s="15">
        <v>1793.902</v>
      </c>
      <c r="K7" s="40">
        <f t="shared" si="2"/>
        <v>0.4073668854850474</v>
      </c>
      <c r="L7" s="41">
        <f t="shared" si="3"/>
        <v>4</v>
      </c>
      <c r="M7" s="15">
        <v>1620.4559999999999</v>
      </c>
      <c r="N7" s="40">
        <f t="shared" si="4"/>
        <v>0.36798003111962524</v>
      </c>
      <c r="O7" s="53">
        <f t="shared" si="5"/>
        <v>3</v>
      </c>
      <c r="P7" s="15">
        <v>170.72</v>
      </c>
      <c r="Q7" s="40">
        <f t="shared" si="6"/>
        <v>3.8767822707153066E-2</v>
      </c>
      <c r="R7" s="42">
        <f t="shared" si="7"/>
        <v>2</v>
      </c>
      <c r="S7" s="41">
        <f t="shared" si="8"/>
        <v>1</v>
      </c>
      <c r="T7" s="15">
        <f>853.031+M7</f>
        <v>2473.4870000000001</v>
      </c>
      <c r="U7" s="40">
        <f t="shared" si="9"/>
        <v>0.56168993371864995</v>
      </c>
      <c r="V7" s="41">
        <f t="shared" si="10"/>
        <v>3</v>
      </c>
      <c r="W7" s="15">
        <v>2789.2449999999999</v>
      </c>
      <c r="X7" s="39">
        <v>2023.6759999999999</v>
      </c>
      <c r="Y7" s="40">
        <f t="shared" si="11"/>
        <v>0.45954494133505552</v>
      </c>
      <c r="Z7" s="41">
        <f t="shared" si="12"/>
        <v>4</v>
      </c>
      <c r="AA7" s="57">
        <f t="shared" si="13"/>
        <v>3.1666666666666665</v>
      </c>
      <c r="AB7" s="60">
        <f t="shared" si="14"/>
        <v>3</v>
      </c>
      <c r="AC7" s="88">
        <v>1</v>
      </c>
      <c r="AD7" s="59">
        <f t="shared" si="15"/>
        <v>3</v>
      </c>
      <c r="AE7" s="60">
        <f t="shared" si="16"/>
        <v>2</v>
      </c>
      <c r="AF7" s="63">
        <f t="shared" si="17"/>
        <v>2</v>
      </c>
      <c r="AG7" s="23">
        <v>1</v>
      </c>
      <c r="AH7" s="23">
        <v>5</v>
      </c>
      <c r="AI7" s="23">
        <f t="shared" si="18"/>
        <v>5</v>
      </c>
      <c r="AJ7" s="109">
        <f t="shared" si="19"/>
        <v>1</v>
      </c>
    </row>
    <row r="8" spans="1:36" ht="15" x14ac:dyDescent="0.25">
      <c r="A8" s="34">
        <v>7</v>
      </c>
      <c r="B8" s="35" t="s">
        <v>45</v>
      </c>
      <c r="C8" s="15">
        <v>7544.51</v>
      </c>
      <c r="D8" s="39">
        <f>5458.694+1032.261</f>
        <v>6490.9549999999999</v>
      </c>
      <c r="E8" s="39">
        <f>5363.368+759.835</f>
        <v>6123.2030000000004</v>
      </c>
      <c r="F8" s="39">
        <v>48.709000000000003</v>
      </c>
      <c r="G8" s="39">
        <v>69</v>
      </c>
      <c r="H8" s="40">
        <f t="shared" si="0"/>
        <v>0.81161042930554805</v>
      </c>
      <c r="I8" s="41">
        <f t="shared" si="1"/>
        <v>4</v>
      </c>
      <c r="J8" s="15">
        <v>5.8440000000000003</v>
      </c>
      <c r="K8" s="43">
        <f t="shared" si="2"/>
        <v>9.5440245897449418E-4</v>
      </c>
      <c r="L8" s="41">
        <f t="shared" si="3"/>
        <v>1</v>
      </c>
      <c r="M8" s="15">
        <f>5059.394+759.017</f>
        <v>5818.4110000000001</v>
      </c>
      <c r="N8" s="40">
        <f t="shared" si="4"/>
        <v>0.95022343698224598</v>
      </c>
      <c r="O8" s="53">
        <f t="shared" si="5"/>
        <v>4</v>
      </c>
      <c r="P8" s="15">
        <v>52.941000000000003</v>
      </c>
      <c r="Q8" s="40">
        <f t="shared" si="6"/>
        <v>8.6459651917468686E-3</v>
      </c>
      <c r="R8" s="42">
        <f t="shared" si="7"/>
        <v>2</v>
      </c>
      <c r="S8" s="41">
        <f t="shared" si="8"/>
        <v>1</v>
      </c>
      <c r="T8" s="15">
        <f>M8+114.681+0.004</f>
        <v>5933.0959999999995</v>
      </c>
      <c r="U8" s="40">
        <f t="shared" si="9"/>
        <v>0.96895301364334963</v>
      </c>
      <c r="V8" s="41">
        <f t="shared" si="10"/>
        <v>4</v>
      </c>
      <c r="W8" s="15">
        <v>5154.2719999999999</v>
      </c>
      <c r="X8" s="39">
        <v>1830.9960000000001</v>
      </c>
      <c r="Y8" s="40">
        <f t="shared" si="11"/>
        <v>0.29902585297270073</v>
      </c>
      <c r="Z8" s="41">
        <f t="shared" si="12"/>
        <v>4</v>
      </c>
      <c r="AA8" s="57">
        <f t="shared" si="13"/>
        <v>3.1666666666666665</v>
      </c>
      <c r="AB8" s="60">
        <f t="shared" si="14"/>
        <v>3</v>
      </c>
      <c r="AC8" s="88">
        <v>3</v>
      </c>
      <c r="AD8" s="59">
        <f t="shared" si="15"/>
        <v>9</v>
      </c>
      <c r="AE8" s="60">
        <f t="shared" si="16"/>
        <v>3</v>
      </c>
      <c r="AF8" s="64">
        <f t="shared" si="17"/>
        <v>3</v>
      </c>
      <c r="AG8" s="23">
        <v>1</v>
      </c>
      <c r="AH8" s="23">
        <v>5</v>
      </c>
      <c r="AI8" s="23">
        <f t="shared" si="18"/>
        <v>5</v>
      </c>
      <c r="AJ8" s="109">
        <f t="shared" si="19"/>
        <v>1</v>
      </c>
    </row>
    <row r="9" spans="1:36" ht="15" x14ac:dyDescent="0.25">
      <c r="A9" s="34">
        <v>8</v>
      </c>
      <c r="B9" s="35" t="s">
        <v>46</v>
      </c>
      <c r="C9" s="15">
        <v>3799.2</v>
      </c>
      <c r="D9" s="39">
        <f>1226.63+2004.323</f>
        <v>3230.9530000000004</v>
      </c>
      <c r="E9" s="39">
        <f>1202.96+1271.378</f>
        <v>2474.3379999999997</v>
      </c>
      <c r="F9" s="39">
        <v>18.247</v>
      </c>
      <c r="G9" s="39">
        <v>71</v>
      </c>
      <c r="H9" s="40">
        <f t="shared" si="0"/>
        <v>0.65127869025057905</v>
      </c>
      <c r="I9" s="41">
        <f t="shared" si="1"/>
        <v>4</v>
      </c>
      <c r="J9" s="15">
        <f>12.398+0.89</f>
        <v>13.288</v>
      </c>
      <c r="K9" s="40">
        <f t="shared" si="2"/>
        <v>5.3703253152964561E-3</v>
      </c>
      <c r="L9" s="41">
        <f t="shared" si="3"/>
        <v>1</v>
      </c>
      <c r="M9" s="15">
        <f>941.456+1148.167</f>
        <v>2089.623</v>
      </c>
      <c r="N9" s="40">
        <f t="shared" si="4"/>
        <v>0.84451800845317015</v>
      </c>
      <c r="O9" s="53">
        <f t="shared" si="5"/>
        <v>4</v>
      </c>
      <c r="P9" s="15">
        <f>91.405+25.856</f>
        <v>117.261</v>
      </c>
      <c r="Q9" s="40">
        <f t="shared" si="6"/>
        <v>4.7390857675871284E-2</v>
      </c>
      <c r="R9" s="42">
        <f t="shared" si="7"/>
        <v>2</v>
      </c>
      <c r="S9" s="41">
        <f t="shared" si="8"/>
        <v>1</v>
      </c>
      <c r="T9" s="15">
        <f>49.884+M9+16.804</f>
        <v>2156.3110000000001</v>
      </c>
      <c r="U9" s="40">
        <f t="shared" si="9"/>
        <v>0.8714698638585352</v>
      </c>
      <c r="V9" s="41">
        <f t="shared" si="10"/>
        <v>4</v>
      </c>
      <c r="W9" s="15">
        <v>1169.921</v>
      </c>
      <c r="X9" s="39">
        <v>301.07299999999998</v>
      </c>
      <c r="Y9" s="40">
        <f t="shared" si="11"/>
        <v>0.12167820241211993</v>
      </c>
      <c r="Z9" s="41">
        <f t="shared" si="12"/>
        <v>2</v>
      </c>
      <c r="AA9" s="57">
        <f t="shared" si="13"/>
        <v>2.8333333333333335</v>
      </c>
      <c r="AB9" s="60">
        <f t="shared" si="14"/>
        <v>3</v>
      </c>
      <c r="AC9" s="88">
        <v>2</v>
      </c>
      <c r="AD9" s="59">
        <f t="shared" si="15"/>
        <v>6</v>
      </c>
      <c r="AE9" s="60">
        <f t="shared" si="16"/>
        <v>3</v>
      </c>
      <c r="AF9" s="64">
        <f t="shared" si="17"/>
        <v>3</v>
      </c>
      <c r="AG9" s="23">
        <v>1</v>
      </c>
      <c r="AH9" s="23">
        <v>5</v>
      </c>
      <c r="AI9" s="23">
        <f t="shared" si="18"/>
        <v>5</v>
      </c>
      <c r="AJ9" s="109">
        <f t="shared" si="19"/>
        <v>1</v>
      </c>
    </row>
    <row r="10" spans="1:36" s="5" customFormat="1" ht="15" x14ac:dyDescent="0.25">
      <c r="A10" s="34">
        <v>9</v>
      </c>
      <c r="B10" s="35" t="s">
        <v>47</v>
      </c>
      <c r="C10" s="15">
        <v>13032.67</v>
      </c>
      <c r="D10" s="39">
        <v>3043.2350000000001</v>
      </c>
      <c r="E10" s="39">
        <v>2962.317</v>
      </c>
      <c r="F10" s="39">
        <v>0</v>
      </c>
      <c r="G10" s="39">
        <v>65</v>
      </c>
      <c r="H10" s="40">
        <f t="shared" si="0"/>
        <v>0.22729931779136586</v>
      </c>
      <c r="I10" s="41">
        <f t="shared" si="1"/>
        <v>3</v>
      </c>
      <c r="J10" s="15">
        <v>691.61400000000003</v>
      </c>
      <c r="K10" s="40">
        <f t="shared" si="2"/>
        <v>0.23347062451452699</v>
      </c>
      <c r="L10" s="41">
        <f t="shared" si="3"/>
        <v>3</v>
      </c>
      <c r="M10" s="15">
        <v>1137.4079999999999</v>
      </c>
      <c r="N10" s="40">
        <f t="shared" si="4"/>
        <v>0.38395890784139575</v>
      </c>
      <c r="O10" s="53">
        <f t="shared" si="5"/>
        <v>3</v>
      </c>
      <c r="P10" s="15">
        <v>501.49799999999999</v>
      </c>
      <c r="Q10" s="40">
        <f t="shared" si="6"/>
        <v>0.16929248287742332</v>
      </c>
      <c r="R10" s="42">
        <f t="shared" si="7"/>
        <v>6</v>
      </c>
      <c r="S10" s="41">
        <f t="shared" si="8"/>
        <v>3</v>
      </c>
      <c r="T10" s="15">
        <f>651.875+M10</f>
        <v>1789.2829999999999</v>
      </c>
      <c r="U10" s="40">
        <f t="shared" si="9"/>
        <v>0.60401469525374896</v>
      </c>
      <c r="V10" s="41">
        <f t="shared" si="10"/>
        <v>3</v>
      </c>
      <c r="W10" s="15">
        <v>1429.96</v>
      </c>
      <c r="X10" s="39">
        <v>947.75</v>
      </c>
      <c r="Y10" s="40">
        <f t="shared" si="11"/>
        <v>0.31993537491092278</v>
      </c>
      <c r="Z10" s="41">
        <f t="shared" si="12"/>
        <v>4</v>
      </c>
      <c r="AA10" s="57">
        <f t="shared" si="13"/>
        <v>3.6666666666666665</v>
      </c>
      <c r="AB10" s="60">
        <f t="shared" si="14"/>
        <v>4</v>
      </c>
      <c r="AC10" s="88">
        <v>2</v>
      </c>
      <c r="AD10" s="59">
        <f t="shared" si="15"/>
        <v>8</v>
      </c>
      <c r="AE10" s="60">
        <f t="shared" si="16"/>
        <v>3</v>
      </c>
      <c r="AF10" s="64">
        <f t="shared" si="17"/>
        <v>3</v>
      </c>
      <c r="AG10" s="23">
        <v>1</v>
      </c>
      <c r="AH10" s="23">
        <v>5</v>
      </c>
      <c r="AI10" s="23">
        <f t="shared" si="18"/>
        <v>5</v>
      </c>
      <c r="AJ10" s="109">
        <f t="shared" si="19"/>
        <v>1</v>
      </c>
    </row>
    <row r="11" spans="1:36" ht="15" x14ac:dyDescent="0.25">
      <c r="A11" s="34">
        <v>10</v>
      </c>
      <c r="B11" s="35" t="s">
        <v>48</v>
      </c>
      <c r="C11" s="15">
        <v>10485.299999999999</v>
      </c>
      <c r="D11" s="39">
        <v>1960.377</v>
      </c>
      <c r="E11" s="39">
        <v>1923.1890000000001</v>
      </c>
      <c r="F11" s="39">
        <v>2.9609999999999999</v>
      </c>
      <c r="G11" s="39">
        <v>66</v>
      </c>
      <c r="H11" s="40">
        <f t="shared" si="0"/>
        <v>0.18341764184143516</v>
      </c>
      <c r="I11" s="41">
        <f t="shared" si="1"/>
        <v>2</v>
      </c>
      <c r="J11" s="15">
        <v>703.471</v>
      </c>
      <c r="K11" s="40">
        <f t="shared" si="2"/>
        <v>0.36578360213166777</v>
      </c>
      <c r="L11" s="41">
        <f t="shared" si="3"/>
        <v>4</v>
      </c>
      <c r="M11" s="15">
        <v>193.58699999999999</v>
      </c>
      <c r="N11" s="40">
        <f t="shared" si="4"/>
        <v>0.10065937357170823</v>
      </c>
      <c r="O11" s="53">
        <f t="shared" si="5"/>
        <v>2</v>
      </c>
      <c r="P11" s="15">
        <v>817.57600000000002</v>
      </c>
      <c r="Q11" s="40">
        <f t="shared" si="6"/>
        <v>0.42511474431270146</v>
      </c>
      <c r="R11" s="42">
        <f t="shared" si="7"/>
        <v>8</v>
      </c>
      <c r="S11" s="41">
        <f t="shared" si="8"/>
        <v>4</v>
      </c>
      <c r="T11" s="15">
        <f>715.49+M11</f>
        <v>909.077</v>
      </c>
      <c r="U11" s="40">
        <f t="shared" si="9"/>
        <v>0.47269249148159642</v>
      </c>
      <c r="V11" s="41">
        <f t="shared" si="10"/>
        <v>2</v>
      </c>
      <c r="W11" s="15">
        <v>894.13900000000001</v>
      </c>
      <c r="X11" s="39">
        <v>532.31899999999996</v>
      </c>
      <c r="Y11" s="40">
        <f t="shared" si="11"/>
        <v>0.27678974869344614</v>
      </c>
      <c r="Z11" s="41">
        <f t="shared" si="12"/>
        <v>4</v>
      </c>
      <c r="AA11" s="57">
        <f t="shared" si="13"/>
        <v>3.6666666666666665</v>
      </c>
      <c r="AB11" s="60">
        <f t="shared" si="14"/>
        <v>4</v>
      </c>
      <c r="AC11" s="88">
        <v>1</v>
      </c>
      <c r="AD11" s="59">
        <f t="shared" si="15"/>
        <v>4</v>
      </c>
      <c r="AE11" s="60">
        <f t="shared" si="16"/>
        <v>2</v>
      </c>
      <c r="AF11" s="63">
        <f t="shared" si="17"/>
        <v>2</v>
      </c>
      <c r="AG11" s="23">
        <v>1</v>
      </c>
      <c r="AH11" s="23">
        <v>5</v>
      </c>
      <c r="AI11" s="23">
        <f t="shared" si="18"/>
        <v>5</v>
      </c>
      <c r="AJ11" s="109">
        <f t="shared" si="19"/>
        <v>1</v>
      </c>
    </row>
    <row r="12" spans="1:36" ht="15" x14ac:dyDescent="0.25">
      <c r="A12" s="34">
        <v>11</v>
      </c>
      <c r="B12" s="35" t="s">
        <v>49</v>
      </c>
      <c r="C12" s="15">
        <v>15990.05</v>
      </c>
      <c r="D12" s="39">
        <v>4939.9030000000002</v>
      </c>
      <c r="E12" s="39">
        <v>4867.3379999999997</v>
      </c>
      <c r="F12" s="39">
        <v>8.5060000000000002</v>
      </c>
      <c r="G12" s="39">
        <v>70</v>
      </c>
      <c r="H12" s="40">
        <f t="shared" si="0"/>
        <v>0.3043979224580286</v>
      </c>
      <c r="I12" s="41">
        <f t="shared" si="1"/>
        <v>4</v>
      </c>
      <c r="J12" s="15">
        <v>1854.19</v>
      </c>
      <c r="K12" s="40">
        <f t="shared" si="2"/>
        <v>0.380945395614605</v>
      </c>
      <c r="L12" s="41">
        <f t="shared" si="3"/>
        <v>4</v>
      </c>
      <c r="M12" s="15">
        <v>1603.7940000000001</v>
      </c>
      <c r="N12" s="40">
        <f t="shared" si="4"/>
        <v>0.32950125920985973</v>
      </c>
      <c r="O12" s="53">
        <f t="shared" si="5"/>
        <v>3</v>
      </c>
      <c r="P12" s="15">
        <v>304.80700000000002</v>
      </c>
      <c r="Q12" s="40">
        <f t="shared" si="6"/>
        <v>6.2622936808579971E-2</v>
      </c>
      <c r="R12" s="42">
        <f t="shared" si="7"/>
        <v>4</v>
      </c>
      <c r="S12" s="41">
        <f t="shared" si="8"/>
        <v>2</v>
      </c>
      <c r="T12" s="56">
        <v>1098.9010000000001</v>
      </c>
      <c r="U12" s="40">
        <f t="shared" si="9"/>
        <v>0.22577043139391595</v>
      </c>
      <c r="V12" s="41">
        <f t="shared" si="10"/>
        <v>2</v>
      </c>
      <c r="W12" s="15">
        <v>3590.5189999999998</v>
      </c>
      <c r="X12" s="39">
        <v>1199.6489999999999</v>
      </c>
      <c r="Y12" s="40">
        <f t="shared" si="11"/>
        <v>0.24646921993089446</v>
      </c>
      <c r="Z12" s="41">
        <f t="shared" si="12"/>
        <v>3</v>
      </c>
      <c r="AA12" s="57">
        <f t="shared" si="13"/>
        <v>3.3333333333333335</v>
      </c>
      <c r="AB12" s="60">
        <f t="shared" si="14"/>
        <v>3</v>
      </c>
      <c r="AC12" s="88">
        <v>1</v>
      </c>
      <c r="AD12" s="59">
        <f t="shared" si="15"/>
        <v>3</v>
      </c>
      <c r="AE12" s="60">
        <f t="shared" si="16"/>
        <v>2</v>
      </c>
      <c r="AF12" s="63">
        <f t="shared" si="17"/>
        <v>2</v>
      </c>
      <c r="AG12" s="23">
        <v>1</v>
      </c>
      <c r="AH12" s="23">
        <v>5</v>
      </c>
      <c r="AI12" s="23">
        <f t="shared" si="18"/>
        <v>5</v>
      </c>
      <c r="AJ12" s="109">
        <f t="shared" si="19"/>
        <v>1</v>
      </c>
    </row>
    <row r="13" spans="1:36" ht="15" x14ac:dyDescent="0.25">
      <c r="A13" s="34">
        <v>12</v>
      </c>
      <c r="B13" s="35" t="s">
        <v>50</v>
      </c>
      <c r="C13" s="15">
        <v>14508.82</v>
      </c>
      <c r="D13" s="39">
        <v>2204.8339999999998</v>
      </c>
      <c r="E13" s="39">
        <v>2136.7280000000001</v>
      </c>
      <c r="F13" s="39">
        <v>2.9550000000000001</v>
      </c>
      <c r="G13" s="39">
        <v>73</v>
      </c>
      <c r="H13" s="40">
        <f t="shared" si="0"/>
        <v>0.14727097034769196</v>
      </c>
      <c r="I13" s="41">
        <f t="shared" si="1"/>
        <v>2</v>
      </c>
      <c r="J13" s="15">
        <v>1229.4069999999999</v>
      </c>
      <c r="K13" s="40">
        <f t="shared" si="2"/>
        <v>0.57536897536794573</v>
      </c>
      <c r="L13" s="41">
        <f t="shared" si="3"/>
        <v>4</v>
      </c>
      <c r="M13" s="15">
        <v>262.37700000000001</v>
      </c>
      <c r="N13" s="40">
        <f t="shared" si="4"/>
        <v>0.1227938230790255</v>
      </c>
      <c r="O13" s="53">
        <f t="shared" si="5"/>
        <v>2</v>
      </c>
      <c r="P13" s="15">
        <v>318.85599999999999</v>
      </c>
      <c r="Q13" s="40">
        <f t="shared" si="6"/>
        <v>0.14922629366021317</v>
      </c>
      <c r="R13" s="42">
        <f t="shared" si="7"/>
        <v>4</v>
      </c>
      <c r="S13" s="41">
        <f t="shared" si="8"/>
        <v>2</v>
      </c>
      <c r="T13" s="15">
        <f>337.539+M13</f>
        <v>599.91599999999994</v>
      </c>
      <c r="U13" s="40">
        <f t="shared" si="9"/>
        <v>0.28076385950855698</v>
      </c>
      <c r="V13" s="41">
        <f t="shared" si="10"/>
        <v>2</v>
      </c>
      <c r="W13" s="15">
        <v>1095.9649999999999</v>
      </c>
      <c r="X13" s="39">
        <v>477.05500000000001</v>
      </c>
      <c r="Y13" s="40">
        <f t="shared" si="11"/>
        <v>0.22326426199310348</v>
      </c>
      <c r="Z13" s="41">
        <f t="shared" si="12"/>
        <v>3</v>
      </c>
      <c r="AA13" s="57">
        <f t="shared" si="13"/>
        <v>2.8333333333333335</v>
      </c>
      <c r="AB13" s="60">
        <f t="shared" si="14"/>
        <v>3</v>
      </c>
      <c r="AC13" s="88">
        <v>1</v>
      </c>
      <c r="AD13" s="59">
        <f t="shared" si="15"/>
        <v>3</v>
      </c>
      <c r="AE13" s="60">
        <f t="shared" si="16"/>
        <v>2</v>
      </c>
      <c r="AF13" s="63">
        <f t="shared" si="17"/>
        <v>2</v>
      </c>
      <c r="AG13" s="23">
        <v>1</v>
      </c>
      <c r="AH13" s="23">
        <v>5</v>
      </c>
      <c r="AI13" s="23">
        <f t="shared" si="18"/>
        <v>5</v>
      </c>
      <c r="AJ13" s="109">
        <f t="shared" si="19"/>
        <v>1</v>
      </c>
    </row>
    <row r="14" spans="1:36" ht="15" x14ac:dyDescent="0.25">
      <c r="A14" s="34">
        <v>13</v>
      </c>
      <c r="B14" s="35" t="s">
        <v>51</v>
      </c>
      <c r="C14" s="15">
        <v>4316.6400000000003</v>
      </c>
      <c r="D14" s="39">
        <f>2488.881+507.235</f>
        <v>2996.116</v>
      </c>
      <c r="E14" s="39">
        <f>2455.663+276.902</f>
        <v>2732.5650000000001</v>
      </c>
      <c r="F14" s="39">
        <v>0</v>
      </c>
      <c r="G14" s="39">
        <v>80</v>
      </c>
      <c r="H14" s="40">
        <f t="shared" si="0"/>
        <v>0.63303055154008669</v>
      </c>
      <c r="I14" s="41">
        <f t="shared" si="1"/>
        <v>4</v>
      </c>
      <c r="J14" s="15">
        <v>32.634</v>
      </c>
      <c r="K14" s="40">
        <f t="shared" si="2"/>
        <v>1.1942625335536392E-2</v>
      </c>
      <c r="L14" s="41">
        <f t="shared" si="3"/>
        <v>1</v>
      </c>
      <c r="M14" s="15">
        <f>1780.153+261.677</f>
        <v>2041.83</v>
      </c>
      <c r="N14" s="40">
        <f t="shared" si="4"/>
        <v>0.74722101761531745</v>
      </c>
      <c r="O14" s="53">
        <f t="shared" si="5"/>
        <v>4</v>
      </c>
      <c r="P14" s="15">
        <f>210.954+2.162</f>
        <v>213.11600000000001</v>
      </c>
      <c r="Q14" s="40">
        <f t="shared" si="6"/>
        <v>7.7991191426370468E-2</v>
      </c>
      <c r="R14" s="42">
        <f t="shared" si="7"/>
        <v>4</v>
      </c>
      <c r="S14" s="41">
        <f t="shared" si="8"/>
        <v>2</v>
      </c>
      <c r="T14" s="15">
        <f>421.864+M14+13.06</f>
        <v>2476.7539999999999</v>
      </c>
      <c r="U14" s="40">
        <f t="shared" si="9"/>
        <v>0.90638429460964332</v>
      </c>
      <c r="V14" s="41">
        <f t="shared" si="10"/>
        <v>4</v>
      </c>
      <c r="W14" s="15">
        <v>2341.2510000000002</v>
      </c>
      <c r="X14" s="39">
        <v>825.94899999999996</v>
      </c>
      <c r="Y14" s="40">
        <f t="shared" si="11"/>
        <v>0.30226142836492453</v>
      </c>
      <c r="Z14" s="41">
        <f t="shared" si="12"/>
        <v>4</v>
      </c>
      <c r="AA14" s="57">
        <f t="shared" si="13"/>
        <v>3.5</v>
      </c>
      <c r="AB14" s="60">
        <f t="shared" si="14"/>
        <v>4</v>
      </c>
      <c r="AC14" s="88">
        <v>2</v>
      </c>
      <c r="AD14" s="59">
        <f t="shared" si="15"/>
        <v>8</v>
      </c>
      <c r="AE14" s="60">
        <f t="shared" si="16"/>
        <v>3</v>
      </c>
      <c r="AF14" s="64">
        <f t="shared" si="17"/>
        <v>3</v>
      </c>
      <c r="AG14" s="23">
        <v>1</v>
      </c>
      <c r="AH14" s="23">
        <v>5</v>
      </c>
      <c r="AI14" s="23">
        <f t="shared" si="18"/>
        <v>5</v>
      </c>
      <c r="AJ14" s="109">
        <f t="shared" si="19"/>
        <v>1</v>
      </c>
    </row>
    <row r="15" spans="1:36" ht="15" x14ac:dyDescent="0.25">
      <c r="A15" s="34">
        <v>14</v>
      </c>
      <c r="B15" s="35" t="s">
        <v>52</v>
      </c>
      <c r="C15" s="15">
        <v>9427.44</v>
      </c>
      <c r="D15" s="39">
        <v>2722.3919999999998</v>
      </c>
      <c r="E15" s="39">
        <v>2667.7190000000001</v>
      </c>
      <c r="F15" s="39">
        <v>15.359</v>
      </c>
      <c r="G15" s="39">
        <v>67</v>
      </c>
      <c r="H15" s="40">
        <f t="shared" si="0"/>
        <v>0.28297385080149012</v>
      </c>
      <c r="I15" s="41">
        <f t="shared" si="1"/>
        <v>3</v>
      </c>
      <c r="J15" s="15">
        <v>641.01900000000001</v>
      </c>
      <c r="K15" s="40">
        <f t="shared" si="2"/>
        <v>0.24028730162359679</v>
      </c>
      <c r="L15" s="41">
        <f t="shared" si="3"/>
        <v>3</v>
      </c>
      <c r="M15" s="15">
        <v>1279.624</v>
      </c>
      <c r="N15" s="40">
        <f t="shared" si="4"/>
        <v>0.47966971034055683</v>
      </c>
      <c r="O15" s="53">
        <f t="shared" si="5"/>
        <v>4</v>
      </c>
      <c r="P15" s="15">
        <v>203.19800000000001</v>
      </c>
      <c r="Q15" s="40">
        <f t="shared" si="6"/>
        <v>7.6169191732712485E-2</v>
      </c>
      <c r="R15" s="42">
        <f t="shared" si="7"/>
        <v>4</v>
      </c>
      <c r="S15" s="41">
        <f t="shared" si="8"/>
        <v>2</v>
      </c>
      <c r="T15" s="15">
        <f>523.194+M15</f>
        <v>1802.818</v>
      </c>
      <c r="U15" s="40">
        <f t="shared" si="9"/>
        <v>0.67579006634506855</v>
      </c>
      <c r="V15" s="41">
        <f t="shared" si="10"/>
        <v>3</v>
      </c>
      <c r="W15" s="15">
        <v>1460.7170000000001</v>
      </c>
      <c r="X15" s="39">
        <v>500.77499999999998</v>
      </c>
      <c r="Y15" s="40">
        <f t="shared" si="11"/>
        <v>0.18771654735749904</v>
      </c>
      <c r="Z15" s="41">
        <f t="shared" si="12"/>
        <v>3</v>
      </c>
      <c r="AA15" s="57">
        <f t="shared" si="13"/>
        <v>3.3333333333333335</v>
      </c>
      <c r="AB15" s="60">
        <f t="shared" si="14"/>
        <v>3</v>
      </c>
      <c r="AC15" s="88">
        <v>2</v>
      </c>
      <c r="AD15" s="59">
        <f t="shared" si="15"/>
        <v>6</v>
      </c>
      <c r="AE15" s="60">
        <f t="shared" si="16"/>
        <v>3</v>
      </c>
      <c r="AF15" s="64">
        <f t="shared" si="17"/>
        <v>3</v>
      </c>
      <c r="AG15" s="23">
        <v>1</v>
      </c>
      <c r="AH15" s="23">
        <v>5</v>
      </c>
      <c r="AI15" s="23">
        <f t="shared" si="18"/>
        <v>5</v>
      </c>
      <c r="AJ15" s="109">
        <f t="shared" si="19"/>
        <v>1</v>
      </c>
    </row>
    <row r="16" spans="1:36" ht="15" x14ac:dyDescent="0.25">
      <c r="A16" s="34">
        <v>15</v>
      </c>
      <c r="B16" s="35" t="s">
        <v>53</v>
      </c>
      <c r="C16" s="15">
        <v>4712.68</v>
      </c>
      <c r="D16" s="39">
        <v>997.83699999999999</v>
      </c>
      <c r="E16" s="39">
        <v>937.44</v>
      </c>
      <c r="F16" s="39">
        <v>5.3680000000000003</v>
      </c>
      <c r="G16" s="39">
        <v>73</v>
      </c>
      <c r="H16" s="40">
        <f t="shared" si="0"/>
        <v>0.19891866199275146</v>
      </c>
      <c r="I16" s="41">
        <f t="shared" si="1"/>
        <v>2</v>
      </c>
      <c r="J16" s="15">
        <v>311.97500000000002</v>
      </c>
      <c r="K16" s="40">
        <f t="shared" si="2"/>
        <v>0.33279463218979349</v>
      </c>
      <c r="L16" s="41">
        <f t="shared" si="3"/>
        <v>4</v>
      </c>
      <c r="M16" s="15">
        <v>253.91300000000001</v>
      </c>
      <c r="N16" s="40">
        <f t="shared" si="4"/>
        <v>0.2708578682369005</v>
      </c>
      <c r="O16" s="53">
        <f t="shared" si="5"/>
        <v>3</v>
      </c>
      <c r="P16" s="15">
        <v>194.77</v>
      </c>
      <c r="Q16" s="40">
        <f t="shared" si="6"/>
        <v>0.2077679638163509</v>
      </c>
      <c r="R16" s="42">
        <f t="shared" si="7"/>
        <v>6</v>
      </c>
      <c r="S16" s="41">
        <f t="shared" si="8"/>
        <v>3</v>
      </c>
      <c r="T16" s="15">
        <f>194.904+M16</f>
        <v>448.81700000000001</v>
      </c>
      <c r="U16" s="40">
        <f t="shared" si="9"/>
        <v>0.47876877453490357</v>
      </c>
      <c r="V16" s="41">
        <f t="shared" si="10"/>
        <v>2</v>
      </c>
      <c r="W16" s="15">
        <v>491.40499999999997</v>
      </c>
      <c r="X16" s="39">
        <v>53.585000000000001</v>
      </c>
      <c r="Y16" s="40">
        <f t="shared" si="11"/>
        <v>5.7160991636798088E-2</v>
      </c>
      <c r="Z16" s="41">
        <f t="shared" si="12"/>
        <v>2</v>
      </c>
      <c r="AA16" s="57">
        <f t="shared" si="13"/>
        <v>3.1666666666666665</v>
      </c>
      <c r="AB16" s="60">
        <f t="shared" si="14"/>
        <v>3</v>
      </c>
      <c r="AC16" s="88">
        <v>2</v>
      </c>
      <c r="AD16" s="59">
        <f t="shared" si="15"/>
        <v>6</v>
      </c>
      <c r="AE16" s="60">
        <f t="shared" si="16"/>
        <v>3</v>
      </c>
      <c r="AF16" s="64">
        <f t="shared" si="17"/>
        <v>3</v>
      </c>
      <c r="AG16" s="23">
        <v>1</v>
      </c>
      <c r="AH16" s="23">
        <v>5</v>
      </c>
      <c r="AI16" s="23">
        <f t="shared" si="18"/>
        <v>5</v>
      </c>
      <c r="AJ16" s="109">
        <f t="shared" si="19"/>
        <v>1</v>
      </c>
    </row>
    <row r="17" spans="1:36" ht="15" x14ac:dyDescent="0.25">
      <c r="A17" s="34">
        <v>16</v>
      </c>
      <c r="B17" s="35" t="s">
        <v>54</v>
      </c>
      <c r="C17" s="15">
        <v>18653.759999999998</v>
      </c>
      <c r="D17" s="39">
        <v>10650.651</v>
      </c>
      <c r="E17" s="39">
        <v>10344.918</v>
      </c>
      <c r="F17" s="39">
        <v>0</v>
      </c>
      <c r="G17" s="39">
        <v>56</v>
      </c>
      <c r="H17" s="40">
        <f t="shared" si="0"/>
        <v>0.55457548504966292</v>
      </c>
      <c r="I17" s="41">
        <f t="shared" si="1"/>
        <v>4</v>
      </c>
      <c r="J17" s="15">
        <v>201.32300000000001</v>
      </c>
      <c r="K17" s="40">
        <f t="shared" si="2"/>
        <v>1.9461053243727985E-2</v>
      </c>
      <c r="L17" s="41">
        <f t="shared" si="3"/>
        <v>1</v>
      </c>
      <c r="M17" s="15">
        <v>8396.1200000000008</v>
      </c>
      <c r="N17" s="40">
        <f t="shared" si="4"/>
        <v>0.81161783979341362</v>
      </c>
      <c r="O17" s="53">
        <f t="shared" si="5"/>
        <v>4</v>
      </c>
      <c r="P17" s="15">
        <v>811.87400000000002</v>
      </c>
      <c r="Q17" s="40">
        <f t="shared" si="6"/>
        <v>7.8480467414048141E-2</v>
      </c>
      <c r="R17" s="42">
        <f t="shared" si="7"/>
        <v>4</v>
      </c>
      <c r="S17" s="41">
        <f t="shared" si="8"/>
        <v>2</v>
      </c>
      <c r="T17" s="15">
        <f>349.545+M17</f>
        <v>8745.6650000000009</v>
      </c>
      <c r="U17" s="40">
        <f t="shared" si="9"/>
        <v>0.84540689447707573</v>
      </c>
      <c r="V17" s="41">
        <f t="shared" si="10"/>
        <v>4</v>
      </c>
      <c r="W17" s="15">
        <v>9652.125</v>
      </c>
      <c r="X17" s="39">
        <v>1955.4159999999999</v>
      </c>
      <c r="Y17" s="40">
        <f t="shared" si="11"/>
        <v>0.18902189461530772</v>
      </c>
      <c r="Z17" s="41">
        <f t="shared" si="12"/>
        <v>3</v>
      </c>
      <c r="AA17" s="57">
        <f t="shared" si="13"/>
        <v>3.3333333333333335</v>
      </c>
      <c r="AB17" s="60">
        <f t="shared" si="14"/>
        <v>3</v>
      </c>
      <c r="AC17" s="88">
        <v>3</v>
      </c>
      <c r="AD17" s="59">
        <f t="shared" si="15"/>
        <v>9</v>
      </c>
      <c r="AE17" s="60">
        <f t="shared" si="16"/>
        <v>3</v>
      </c>
      <c r="AF17" s="64">
        <f t="shared" si="17"/>
        <v>3</v>
      </c>
      <c r="AG17" s="23">
        <v>1</v>
      </c>
      <c r="AH17" s="23">
        <v>5</v>
      </c>
      <c r="AI17" s="23">
        <f t="shared" si="18"/>
        <v>5</v>
      </c>
      <c r="AJ17" s="109">
        <f t="shared" si="19"/>
        <v>1</v>
      </c>
    </row>
    <row r="18" spans="1:36" ht="15" x14ac:dyDescent="0.25">
      <c r="A18" s="34">
        <v>17</v>
      </c>
      <c r="B18" s="35" t="s">
        <v>55</v>
      </c>
      <c r="C18" s="15">
        <v>10455.64</v>
      </c>
      <c r="D18" s="39">
        <v>2571.8090000000002</v>
      </c>
      <c r="E18" s="39">
        <v>2501.6559999999999</v>
      </c>
      <c r="F18" s="39">
        <v>5.4290000000000003</v>
      </c>
      <c r="G18" s="39">
        <v>71</v>
      </c>
      <c r="H18" s="40">
        <f t="shared" si="0"/>
        <v>0.23926378490460651</v>
      </c>
      <c r="I18" s="41">
        <f t="shared" si="1"/>
        <v>3</v>
      </c>
      <c r="J18" s="15">
        <v>444.25</v>
      </c>
      <c r="K18" s="40">
        <f t="shared" si="2"/>
        <v>0.17758236943848396</v>
      </c>
      <c r="L18" s="41">
        <f t="shared" si="3"/>
        <v>3</v>
      </c>
      <c r="M18" s="15">
        <v>1181.454</v>
      </c>
      <c r="N18" s="40">
        <f t="shared" si="4"/>
        <v>0.47226876916730359</v>
      </c>
      <c r="O18" s="53">
        <f t="shared" si="5"/>
        <v>4</v>
      </c>
      <c r="P18" s="15">
        <v>493.86900000000003</v>
      </c>
      <c r="Q18" s="40">
        <f t="shared" si="6"/>
        <v>0.19741683109108529</v>
      </c>
      <c r="R18" s="42">
        <f t="shared" si="7"/>
        <v>6</v>
      </c>
      <c r="S18" s="41">
        <f t="shared" si="8"/>
        <v>3</v>
      </c>
      <c r="T18" s="15">
        <f>M18+527.451</f>
        <v>1708.905</v>
      </c>
      <c r="U18" s="40">
        <f t="shared" si="9"/>
        <v>0.68310950826172745</v>
      </c>
      <c r="V18" s="41">
        <f t="shared" si="10"/>
        <v>3</v>
      </c>
      <c r="W18" s="15">
        <v>1725.251</v>
      </c>
      <c r="X18" s="39">
        <v>27.994</v>
      </c>
      <c r="Y18" s="40">
        <f t="shared" si="11"/>
        <v>1.1190187619720697E-2</v>
      </c>
      <c r="Z18" s="41">
        <f t="shared" si="12"/>
        <v>1</v>
      </c>
      <c r="AA18" s="57">
        <f t="shared" si="13"/>
        <v>3.3333333333333335</v>
      </c>
      <c r="AB18" s="60">
        <f t="shared" si="14"/>
        <v>3</v>
      </c>
      <c r="AC18" s="88">
        <v>2</v>
      </c>
      <c r="AD18" s="59">
        <f t="shared" si="15"/>
        <v>6</v>
      </c>
      <c r="AE18" s="60">
        <f t="shared" si="16"/>
        <v>3</v>
      </c>
      <c r="AF18" s="64">
        <f t="shared" si="17"/>
        <v>3</v>
      </c>
      <c r="AG18" s="23">
        <v>1</v>
      </c>
      <c r="AH18" s="23">
        <v>5</v>
      </c>
      <c r="AI18" s="23">
        <f t="shared" si="18"/>
        <v>5</v>
      </c>
      <c r="AJ18" s="109">
        <f t="shared" si="19"/>
        <v>1</v>
      </c>
    </row>
    <row r="19" spans="1:36" ht="15" x14ac:dyDescent="0.25">
      <c r="A19" s="34">
        <v>18</v>
      </c>
      <c r="B19" s="35" t="s">
        <v>56</v>
      </c>
      <c r="C19" s="15">
        <v>6666.25</v>
      </c>
      <c r="D19" s="39">
        <v>1637.2809999999999</v>
      </c>
      <c r="E19" s="39">
        <v>1613.3489999999999</v>
      </c>
      <c r="F19" s="39">
        <v>0</v>
      </c>
      <c r="G19" s="39">
        <v>67</v>
      </c>
      <c r="H19" s="40">
        <f t="shared" si="0"/>
        <v>0.24201747609225577</v>
      </c>
      <c r="I19" s="41">
        <f t="shared" si="1"/>
        <v>3</v>
      </c>
      <c r="J19" s="15">
        <v>214.142</v>
      </c>
      <c r="K19" s="40">
        <f t="shared" si="2"/>
        <v>0.13273135570790945</v>
      </c>
      <c r="L19" s="41">
        <f t="shared" si="3"/>
        <v>2</v>
      </c>
      <c r="M19" s="15">
        <v>709.11699999999996</v>
      </c>
      <c r="N19" s="40">
        <f t="shared" si="4"/>
        <v>0.43953106240497253</v>
      </c>
      <c r="O19" s="53">
        <f t="shared" si="5"/>
        <v>4</v>
      </c>
      <c r="P19" s="15">
        <v>278.57</v>
      </c>
      <c r="Q19" s="40">
        <f t="shared" si="6"/>
        <v>0.17266567865973204</v>
      </c>
      <c r="R19" s="42">
        <f t="shared" si="7"/>
        <v>6</v>
      </c>
      <c r="S19" s="41">
        <f t="shared" si="8"/>
        <v>3</v>
      </c>
      <c r="T19" s="15">
        <f>382.857+M19</f>
        <v>1091.9739999999999</v>
      </c>
      <c r="U19" s="40">
        <f t="shared" si="9"/>
        <v>0.67683681584083788</v>
      </c>
      <c r="V19" s="41">
        <f t="shared" si="10"/>
        <v>3</v>
      </c>
      <c r="W19" s="15">
        <v>1032.5530000000001</v>
      </c>
      <c r="X19" s="39">
        <v>125.41800000000001</v>
      </c>
      <c r="Y19" s="40">
        <f t="shared" si="11"/>
        <v>7.7737674861421802E-2</v>
      </c>
      <c r="Z19" s="41">
        <f t="shared" si="12"/>
        <v>2</v>
      </c>
      <c r="AA19" s="57">
        <f t="shared" si="13"/>
        <v>3.3333333333333335</v>
      </c>
      <c r="AB19" s="60">
        <f t="shared" si="14"/>
        <v>3</v>
      </c>
      <c r="AC19" s="88">
        <v>2</v>
      </c>
      <c r="AD19" s="59">
        <f t="shared" si="15"/>
        <v>6</v>
      </c>
      <c r="AE19" s="60">
        <f t="shared" si="16"/>
        <v>3</v>
      </c>
      <c r="AF19" s="64">
        <f t="shared" si="17"/>
        <v>3</v>
      </c>
      <c r="AG19" s="23">
        <v>1</v>
      </c>
      <c r="AH19" s="23">
        <v>5</v>
      </c>
      <c r="AI19" s="23">
        <f t="shared" si="18"/>
        <v>5</v>
      </c>
      <c r="AJ19" s="109">
        <f t="shared" si="19"/>
        <v>1</v>
      </c>
    </row>
    <row r="20" spans="1:36" ht="15" x14ac:dyDescent="0.25">
      <c r="A20" s="34">
        <v>19</v>
      </c>
      <c r="B20" s="35" t="s">
        <v>57</v>
      </c>
      <c r="C20" s="15">
        <v>12234.14</v>
      </c>
      <c r="D20" s="39">
        <v>1151.0070000000001</v>
      </c>
      <c r="E20" s="39">
        <v>1054.9580000000001</v>
      </c>
      <c r="F20" s="39">
        <v>21.718</v>
      </c>
      <c r="G20" s="50">
        <v>70</v>
      </c>
      <c r="H20" s="40">
        <f t="shared" si="0"/>
        <v>8.6230662719243054E-2</v>
      </c>
      <c r="I20" s="41">
        <f t="shared" si="1"/>
        <v>1</v>
      </c>
      <c r="J20" s="15">
        <v>461.91899999999998</v>
      </c>
      <c r="K20" s="40">
        <f t="shared" si="2"/>
        <v>0.43785534590002628</v>
      </c>
      <c r="L20" s="41">
        <f t="shared" si="3"/>
        <v>4</v>
      </c>
      <c r="M20" s="15">
        <v>18.145</v>
      </c>
      <c r="N20" s="40">
        <f t="shared" si="4"/>
        <v>1.7199736861562259E-2</v>
      </c>
      <c r="O20" s="53">
        <f t="shared" si="5"/>
        <v>1</v>
      </c>
      <c r="P20" s="15">
        <v>261.75400000000002</v>
      </c>
      <c r="Q20" s="40">
        <f t="shared" si="6"/>
        <v>0.24811793455284475</v>
      </c>
      <c r="R20" s="42">
        <f t="shared" si="7"/>
        <v>6</v>
      </c>
      <c r="S20" s="41">
        <f t="shared" si="8"/>
        <v>3</v>
      </c>
      <c r="T20" s="15">
        <f>305.775+M20</f>
        <v>323.91999999999996</v>
      </c>
      <c r="U20" s="40">
        <f t="shared" si="9"/>
        <v>0.30704539896375016</v>
      </c>
      <c r="V20" s="41">
        <f t="shared" si="10"/>
        <v>2</v>
      </c>
      <c r="W20" s="15">
        <v>490.83600000000001</v>
      </c>
      <c r="X20" s="39">
        <v>175.952</v>
      </c>
      <c r="Y20" s="40">
        <f t="shared" si="11"/>
        <v>0.16678578673274194</v>
      </c>
      <c r="Z20" s="41">
        <f t="shared" si="12"/>
        <v>3</v>
      </c>
      <c r="AA20" s="57">
        <f t="shared" si="13"/>
        <v>2.8333333333333335</v>
      </c>
      <c r="AB20" s="60">
        <f t="shared" si="14"/>
        <v>3</v>
      </c>
      <c r="AC20" s="88">
        <v>1</v>
      </c>
      <c r="AD20" s="59">
        <f t="shared" si="15"/>
        <v>3</v>
      </c>
      <c r="AE20" s="60">
        <f t="shared" si="16"/>
        <v>2</v>
      </c>
      <c r="AF20" s="63">
        <f t="shared" si="17"/>
        <v>2</v>
      </c>
      <c r="AG20" s="23">
        <v>1</v>
      </c>
      <c r="AH20" s="23">
        <v>5</v>
      </c>
      <c r="AI20" s="23">
        <f t="shared" si="18"/>
        <v>5</v>
      </c>
      <c r="AJ20" s="109">
        <f t="shared" si="19"/>
        <v>1</v>
      </c>
    </row>
    <row r="21" spans="1:36" ht="15" x14ac:dyDescent="0.25">
      <c r="A21" s="34">
        <v>20</v>
      </c>
      <c r="B21" s="35" t="s">
        <v>58</v>
      </c>
      <c r="C21" s="15">
        <v>5787.57</v>
      </c>
      <c r="D21" s="39">
        <v>2341.5990000000002</v>
      </c>
      <c r="E21" s="39">
        <v>2308.527</v>
      </c>
      <c r="F21" s="39">
        <v>12.855</v>
      </c>
      <c r="G21" s="39">
        <v>72</v>
      </c>
      <c r="H21" s="40">
        <f t="shared" si="0"/>
        <v>0.39887673064861423</v>
      </c>
      <c r="I21" s="41">
        <f t="shared" si="1"/>
        <v>4</v>
      </c>
      <c r="J21" s="15">
        <v>257.68400000000003</v>
      </c>
      <c r="K21" s="40">
        <f t="shared" si="2"/>
        <v>0.11162269273870308</v>
      </c>
      <c r="L21" s="41">
        <f t="shared" si="3"/>
        <v>2</v>
      </c>
      <c r="M21" s="15">
        <v>1525.846</v>
      </c>
      <c r="N21" s="40">
        <f t="shared" si="4"/>
        <v>0.66096086378890084</v>
      </c>
      <c r="O21" s="53">
        <f t="shared" si="5"/>
        <v>4</v>
      </c>
      <c r="P21" s="15">
        <v>97.253</v>
      </c>
      <c r="Q21" s="40">
        <f t="shared" si="6"/>
        <v>4.2127729067063108E-2</v>
      </c>
      <c r="R21" s="42">
        <f t="shared" si="7"/>
        <v>2</v>
      </c>
      <c r="S21" s="41">
        <f t="shared" si="8"/>
        <v>1</v>
      </c>
      <c r="T21" s="15">
        <f>378.926+M21</f>
        <v>1904.7719999999999</v>
      </c>
      <c r="U21" s="40">
        <f t="shared" si="9"/>
        <v>0.82510276033158803</v>
      </c>
      <c r="V21" s="41">
        <f t="shared" si="10"/>
        <v>4</v>
      </c>
      <c r="W21" s="15">
        <v>1890.0609999999999</v>
      </c>
      <c r="X21" s="39">
        <v>507.31599999999997</v>
      </c>
      <c r="Y21" s="40">
        <f t="shared" si="11"/>
        <v>0.21975744706472999</v>
      </c>
      <c r="Z21" s="41">
        <f t="shared" si="12"/>
        <v>3</v>
      </c>
      <c r="AA21" s="57">
        <f t="shared" si="13"/>
        <v>3.1666666666666665</v>
      </c>
      <c r="AB21" s="60">
        <f t="shared" si="14"/>
        <v>3</v>
      </c>
      <c r="AC21" s="88">
        <v>1</v>
      </c>
      <c r="AD21" s="59">
        <f t="shared" si="15"/>
        <v>3</v>
      </c>
      <c r="AE21" s="60">
        <f t="shared" si="16"/>
        <v>2</v>
      </c>
      <c r="AF21" s="63">
        <f t="shared" si="17"/>
        <v>2</v>
      </c>
      <c r="AG21" s="23">
        <v>1</v>
      </c>
      <c r="AH21" s="23">
        <v>5</v>
      </c>
      <c r="AI21" s="23">
        <f t="shared" si="18"/>
        <v>5</v>
      </c>
      <c r="AJ21" s="109">
        <f t="shared" si="19"/>
        <v>1</v>
      </c>
    </row>
    <row r="22" spans="1:36" ht="15" x14ac:dyDescent="0.25">
      <c r="A22" s="34">
        <v>21</v>
      </c>
      <c r="B22" s="35" t="s">
        <v>59</v>
      </c>
      <c r="C22" s="15">
        <v>11054.75</v>
      </c>
      <c r="D22" s="39">
        <v>4153.817</v>
      </c>
      <c r="E22" s="39">
        <v>4060.7379999999998</v>
      </c>
      <c r="F22" s="39">
        <v>0</v>
      </c>
      <c r="G22" s="39">
        <v>72</v>
      </c>
      <c r="H22" s="40">
        <f t="shared" si="0"/>
        <v>0.36732969990275671</v>
      </c>
      <c r="I22" s="41">
        <f t="shared" si="1"/>
        <v>4</v>
      </c>
      <c r="J22" s="15">
        <v>228.774</v>
      </c>
      <c r="K22" s="40">
        <f t="shared" si="2"/>
        <v>5.6338035105933951E-2</v>
      </c>
      <c r="L22" s="41">
        <f t="shared" si="3"/>
        <v>2</v>
      </c>
      <c r="M22" s="15">
        <v>3007.3589999999999</v>
      </c>
      <c r="N22" s="40">
        <f t="shared" si="4"/>
        <v>0.74059419740943644</v>
      </c>
      <c r="O22" s="53">
        <f t="shared" si="5"/>
        <v>4</v>
      </c>
      <c r="P22" s="15">
        <v>474.447</v>
      </c>
      <c r="Q22" s="40">
        <f t="shared" si="6"/>
        <v>0.11683762902211373</v>
      </c>
      <c r="R22" s="42">
        <f t="shared" si="7"/>
        <v>4</v>
      </c>
      <c r="S22" s="41">
        <f t="shared" si="8"/>
        <v>2</v>
      </c>
      <c r="T22" s="15">
        <f>M22+214.878</f>
        <v>3222.2370000000001</v>
      </c>
      <c r="U22" s="40">
        <f t="shared" si="9"/>
        <v>0.7935101944523385</v>
      </c>
      <c r="V22" s="41">
        <f t="shared" si="10"/>
        <v>3</v>
      </c>
      <c r="W22" s="15">
        <v>3660.2280000000001</v>
      </c>
      <c r="X22" s="39">
        <v>659.01300000000003</v>
      </c>
      <c r="Y22" s="40">
        <f t="shared" si="11"/>
        <v>0.16228897308814311</v>
      </c>
      <c r="Z22" s="41">
        <f t="shared" si="12"/>
        <v>3</v>
      </c>
      <c r="AA22" s="57">
        <f t="shared" si="13"/>
        <v>3.3333333333333335</v>
      </c>
      <c r="AB22" s="60">
        <f t="shared" si="14"/>
        <v>3</v>
      </c>
      <c r="AC22" s="88">
        <v>2</v>
      </c>
      <c r="AD22" s="59">
        <f t="shared" si="15"/>
        <v>6</v>
      </c>
      <c r="AE22" s="60">
        <f t="shared" si="16"/>
        <v>3</v>
      </c>
      <c r="AF22" s="64">
        <f t="shared" si="17"/>
        <v>3</v>
      </c>
      <c r="AG22" s="23">
        <v>1</v>
      </c>
      <c r="AH22" s="23">
        <v>5</v>
      </c>
      <c r="AI22" s="23">
        <f t="shared" si="18"/>
        <v>5</v>
      </c>
      <c r="AJ22" s="109">
        <f t="shared" si="19"/>
        <v>1</v>
      </c>
    </row>
    <row r="23" spans="1:36" ht="15" x14ac:dyDescent="0.25">
      <c r="A23" s="34">
        <v>22</v>
      </c>
      <c r="B23" s="35" t="s">
        <v>60</v>
      </c>
      <c r="C23" s="15">
        <v>10929.79</v>
      </c>
      <c r="D23" s="39">
        <f>1984.319+357.178+1342.102</f>
        <v>3683.5990000000002</v>
      </c>
      <c r="E23" s="39">
        <f>1935.564+357.178+1217.851</f>
        <v>3510.5930000000003</v>
      </c>
      <c r="F23" s="39">
        <v>432.149</v>
      </c>
      <c r="G23" s="39">
        <v>71</v>
      </c>
      <c r="H23" s="40">
        <f t="shared" si="0"/>
        <v>0.32119491774315884</v>
      </c>
      <c r="I23" s="41">
        <f t="shared" si="1"/>
        <v>4</v>
      </c>
      <c r="J23" s="15">
        <f>220.846+0.002</f>
        <v>220.84800000000001</v>
      </c>
      <c r="K23" s="40">
        <f t="shared" si="2"/>
        <v>6.2909029898937305E-2</v>
      </c>
      <c r="L23" s="41">
        <f t="shared" si="3"/>
        <v>2</v>
      </c>
      <c r="M23" s="15">
        <f>1130.688+1034.969</f>
        <v>2165.6570000000002</v>
      </c>
      <c r="N23" s="40">
        <f t="shared" si="4"/>
        <v>0.61689207492865161</v>
      </c>
      <c r="O23" s="53">
        <f t="shared" si="5"/>
        <v>4</v>
      </c>
      <c r="P23" s="15">
        <f>294.477+23.1</f>
        <v>317.577</v>
      </c>
      <c r="Q23" s="40">
        <f t="shared" si="6"/>
        <v>9.0462494513035258E-2</v>
      </c>
      <c r="R23" s="42">
        <f t="shared" si="7"/>
        <v>4</v>
      </c>
      <c r="S23" s="41">
        <f t="shared" si="8"/>
        <v>2</v>
      </c>
      <c r="T23" s="15">
        <f>231.043+M23+102.523</f>
        <v>2499.2230000000004</v>
      </c>
      <c r="U23" s="40">
        <f t="shared" si="9"/>
        <v>0.71190907063279629</v>
      </c>
      <c r="V23" s="41">
        <f t="shared" si="10"/>
        <v>3</v>
      </c>
      <c r="W23" s="15">
        <v>1436.336</v>
      </c>
      <c r="X23" s="69">
        <v>289.625</v>
      </c>
      <c r="Y23" s="40">
        <f t="shared" si="11"/>
        <v>8.2500306928202718E-2</v>
      </c>
      <c r="Z23" s="41">
        <f t="shared" si="12"/>
        <v>2</v>
      </c>
      <c r="AA23" s="57">
        <f t="shared" si="13"/>
        <v>3.1666666666666665</v>
      </c>
      <c r="AB23" s="60">
        <f t="shared" si="14"/>
        <v>3</v>
      </c>
      <c r="AC23" s="88">
        <v>2</v>
      </c>
      <c r="AD23" s="59">
        <f t="shared" si="15"/>
        <v>6</v>
      </c>
      <c r="AE23" s="60">
        <f t="shared" si="16"/>
        <v>3</v>
      </c>
      <c r="AF23" s="64">
        <f t="shared" si="17"/>
        <v>3</v>
      </c>
      <c r="AG23" s="23">
        <v>1</v>
      </c>
      <c r="AH23" s="23">
        <v>5</v>
      </c>
      <c r="AI23" s="23">
        <f t="shared" si="18"/>
        <v>5</v>
      </c>
      <c r="AJ23" s="109">
        <f t="shared" si="19"/>
        <v>1</v>
      </c>
    </row>
    <row r="24" spans="1:36" ht="15" x14ac:dyDescent="0.25">
      <c r="A24" s="34">
        <v>23</v>
      </c>
      <c r="B24" s="35" t="s">
        <v>61</v>
      </c>
      <c r="C24" s="15">
        <v>8797.7000000000007</v>
      </c>
      <c r="D24" s="39">
        <v>3556.8110000000001</v>
      </c>
      <c r="E24" s="39">
        <v>3448.5309999999999</v>
      </c>
      <c r="F24" s="39">
        <v>6.1180000000000003</v>
      </c>
      <c r="G24" s="39">
        <v>72</v>
      </c>
      <c r="H24" s="40">
        <f t="shared" si="0"/>
        <v>0.39198097229957823</v>
      </c>
      <c r="I24" s="41">
        <f t="shared" si="1"/>
        <v>4</v>
      </c>
      <c r="J24" s="15">
        <v>469.95800000000003</v>
      </c>
      <c r="K24" s="40">
        <f t="shared" si="2"/>
        <v>0.13627773681025343</v>
      </c>
      <c r="L24" s="41">
        <f t="shared" si="3"/>
        <v>2</v>
      </c>
      <c r="M24" s="15">
        <v>2232.8560000000002</v>
      </c>
      <c r="N24" s="40">
        <f t="shared" si="4"/>
        <v>0.6474803329301666</v>
      </c>
      <c r="O24" s="53">
        <f t="shared" si="5"/>
        <v>4</v>
      </c>
      <c r="P24" s="15">
        <v>190.839</v>
      </c>
      <c r="Q24" s="40">
        <f t="shared" si="6"/>
        <v>5.5339215451448751E-2</v>
      </c>
      <c r="R24" s="42">
        <f t="shared" si="7"/>
        <v>4</v>
      </c>
      <c r="S24" s="41">
        <f t="shared" si="8"/>
        <v>2</v>
      </c>
      <c r="T24" s="15">
        <f>370.379+M24</f>
        <v>2603.2350000000001</v>
      </c>
      <c r="U24" s="40">
        <f t="shared" si="9"/>
        <v>0.7548822962588998</v>
      </c>
      <c r="V24" s="41">
        <f t="shared" si="10"/>
        <v>3</v>
      </c>
      <c r="W24" s="15">
        <v>2788.0230000000001</v>
      </c>
      <c r="X24" s="39">
        <v>194.31899999999999</v>
      </c>
      <c r="Y24" s="40">
        <f t="shared" si="11"/>
        <v>5.6348340786265223E-2</v>
      </c>
      <c r="Z24" s="41">
        <f t="shared" si="12"/>
        <v>2</v>
      </c>
      <c r="AA24" s="57">
        <f t="shared" si="13"/>
        <v>3.1666666666666665</v>
      </c>
      <c r="AB24" s="60">
        <f t="shared" si="14"/>
        <v>3</v>
      </c>
      <c r="AC24" s="88">
        <v>2</v>
      </c>
      <c r="AD24" s="59">
        <f t="shared" si="15"/>
        <v>6</v>
      </c>
      <c r="AE24" s="60">
        <f t="shared" si="16"/>
        <v>3</v>
      </c>
      <c r="AF24" s="64">
        <f t="shared" si="17"/>
        <v>3</v>
      </c>
      <c r="AG24" s="23">
        <v>1</v>
      </c>
      <c r="AH24" s="23">
        <v>5</v>
      </c>
      <c r="AI24" s="23">
        <f t="shared" si="18"/>
        <v>5</v>
      </c>
      <c r="AJ24" s="109">
        <f t="shared" si="19"/>
        <v>1</v>
      </c>
    </row>
    <row r="25" spans="1:36" ht="15" x14ac:dyDescent="0.25">
      <c r="A25" s="34">
        <v>24</v>
      </c>
      <c r="B25" s="35" t="s">
        <v>62</v>
      </c>
      <c r="C25" s="15">
        <v>8600.08</v>
      </c>
      <c r="D25" s="39">
        <v>2923.17</v>
      </c>
      <c r="E25" s="39">
        <v>2876.317</v>
      </c>
      <c r="F25" s="39">
        <v>0</v>
      </c>
      <c r="G25" s="39">
        <v>70</v>
      </c>
      <c r="H25" s="40">
        <f t="shared" si="0"/>
        <v>0.33445235393159134</v>
      </c>
      <c r="I25" s="41">
        <f t="shared" si="1"/>
        <v>4</v>
      </c>
      <c r="J25" s="15">
        <v>914.57399999999996</v>
      </c>
      <c r="K25" s="40">
        <f t="shared" si="2"/>
        <v>0.31796703909895885</v>
      </c>
      <c r="L25" s="41">
        <f t="shared" si="3"/>
        <v>4</v>
      </c>
      <c r="M25" s="15">
        <v>950.33</v>
      </c>
      <c r="N25" s="40">
        <f t="shared" si="4"/>
        <v>0.33039821410505171</v>
      </c>
      <c r="O25" s="53">
        <f t="shared" si="5"/>
        <v>3</v>
      </c>
      <c r="P25" s="15">
        <v>433.05200000000002</v>
      </c>
      <c r="Q25" s="40">
        <f t="shared" si="6"/>
        <v>0.15055781403788249</v>
      </c>
      <c r="R25" s="42">
        <f t="shared" si="7"/>
        <v>6</v>
      </c>
      <c r="S25" s="41">
        <f t="shared" si="8"/>
        <v>3</v>
      </c>
      <c r="T25" s="15">
        <f>758.553+M25</f>
        <v>1708.883</v>
      </c>
      <c r="U25" s="40">
        <f t="shared" si="9"/>
        <v>0.59412192745097292</v>
      </c>
      <c r="V25" s="41">
        <f t="shared" si="10"/>
        <v>3</v>
      </c>
      <c r="W25" s="15">
        <v>1816.8920000000001</v>
      </c>
      <c r="X25" s="39">
        <v>769.34</v>
      </c>
      <c r="Y25" s="40">
        <f t="shared" si="11"/>
        <v>0.26747399539063327</v>
      </c>
      <c r="Z25" s="41">
        <f t="shared" si="12"/>
        <v>4</v>
      </c>
      <c r="AA25" s="57">
        <f t="shared" si="13"/>
        <v>4</v>
      </c>
      <c r="AB25" s="60">
        <f t="shared" si="14"/>
        <v>4</v>
      </c>
      <c r="AC25" s="88">
        <v>2</v>
      </c>
      <c r="AD25" s="59">
        <f t="shared" si="15"/>
        <v>8</v>
      </c>
      <c r="AE25" s="60">
        <f t="shared" si="16"/>
        <v>3</v>
      </c>
      <c r="AF25" s="64">
        <f t="shared" si="17"/>
        <v>3</v>
      </c>
      <c r="AG25" s="23">
        <v>1</v>
      </c>
      <c r="AH25" s="23">
        <v>5</v>
      </c>
      <c r="AI25" s="23">
        <f t="shared" si="18"/>
        <v>5</v>
      </c>
      <c r="AJ25" s="109">
        <f t="shared" si="19"/>
        <v>1</v>
      </c>
    </row>
    <row r="26" spans="1:36" ht="15" x14ac:dyDescent="0.25">
      <c r="A26" s="34">
        <v>25</v>
      </c>
      <c r="B26" s="35" t="s">
        <v>63</v>
      </c>
      <c r="C26" s="15">
        <v>3738.95</v>
      </c>
      <c r="D26" s="39">
        <f>2354.048+134.417</f>
        <v>2488.4649999999997</v>
      </c>
      <c r="E26" s="39">
        <f>2274.783+132.795</f>
        <v>2407.578</v>
      </c>
      <c r="F26" s="39">
        <v>18.253</v>
      </c>
      <c r="G26" s="39">
        <v>65</v>
      </c>
      <c r="H26" s="40">
        <f t="shared" si="0"/>
        <v>0.64391821233233937</v>
      </c>
      <c r="I26" s="41">
        <f t="shared" si="1"/>
        <v>4</v>
      </c>
      <c r="J26" s="15">
        <v>104.563</v>
      </c>
      <c r="K26" s="40">
        <f t="shared" si="2"/>
        <v>4.3430783966293095E-2</v>
      </c>
      <c r="L26" s="41">
        <f t="shared" si="3"/>
        <v>1</v>
      </c>
      <c r="M26" s="15">
        <f>1642+132.495</f>
        <v>1774.4949999999999</v>
      </c>
      <c r="N26" s="40">
        <f t="shared" si="4"/>
        <v>0.73704569488506699</v>
      </c>
      <c r="O26" s="53">
        <f t="shared" si="5"/>
        <v>4</v>
      </c>
      <c r="P26" s="15">
        <v>187.24100000000001</v>
      </c>
      <c r="Q26" s="40">
        <f t="shared" si="6"/>
        <v>7.7771519759692112E-2</v>
      </c>
      <c r="R26" s="42">
        <f t="shared" si="7"/>
        <v>4</v>
      </c>
      <c r="S26" s="41">
        <f t="shared" si="8"/>
        <v>2</v>
      </c>
      <c r="T26" s="15">
        <f>M26+241.035</f>
        <v>2015.53</v>
      </c>
      <c r="U26" s="40">
        <f t="shared" si="9"/>
        <v>0.83716083134170527</v>
      </c>
      <c r="V26" s="41">
        <f t="shared" si="10"/>
        <v>4</v>
      </c>
      <c r="W26" s="15">
        <v>2021.9949999999999</v>
      </c>
      <c r="X26" s="39">
        <v>103.97</v>
      </c>
      <c r="Y26" s="40">
        <f t="shared" si="11"/>
        <v>4.3184478342965418E-2</v>
      </c>
      <c r="Z26" s="41">
        <f t="shared" si="12"/>
        <v>1</v>
      </c>
      <c r="AA26" s="57">
        <f t="shared" si="13"/>
        <v>3</v>
      </c>
      <c r="AB26" s="60">
        <f t="shared" si="14"/>
        <v>3</v>
      </c>
      <c r="AC26" s="88">
        <v>2</v>
      </c>
      <c r="AD26" s="59">
        <f t="shared" si="15"/>
        <v>6</v>
      </c>
      <c r="AE26" s="60">
        <f t="shared" si="16"/>
        <v>3</v>
      </c>
      <c r="AF26" s="64">
        <f t="shared" si="17"/>
        <v>3</v>
      </c>
      <c r="AG26" s="23">
        <v>1</v>
      </c>
      <c r="AH26" s="23">
        <v>5</v>
      </c>
      <c r="AI26" s="23">
        <f t="shared" si="18"/>
        <v>5</v>
      </c>
      <c r="AJ26" s="109">
        <f t="shared" si="19"/>
        <v>1</v>
      </c>
    </row>
    <row r="27" spans="1:36" ht="15.75" thickBot="1" x14ac:dyDescent="0.3">
      <c r="A27" s="37">
        <v>26</v>
      </c>
      <c r="B27" s="38" t="s">
        <v>64</v>
      </c>
      <c r="C27" s="44">
        <v>8155.45</v>
      </c>
      <c r="D27" s="52">
        <v>3218.0309999999999</v>
      </c>
      <c r="E27" s="52">
        <v>3163.826</v>
      </c>
      <c r="F27" s="52">
        <v>0</v>
      </c>
      <c r="G27" s="52">
        <v>62</v>
      </c>
      <c r="H27" s="45">
        <f t="shared" si="0"/>
        <v>0.38794008914284311</v>
      </c>
      <c r="I27" s="46">
        <f t="shared" si="1"/>
        <v>4</v>
      </c>
      <c r="J27" s="44">
        <v>174.58099999999999</v>
      </c>
      <c r="K27" s="45">
        <f t="shared" si="2"/>
        <v>5.5180341776064797E-2</v>
      </c>
      <c r="L27" s="46">
        <f t="shared" si="3"/>
        <v>2</v>
      </c>
      <c r="M27" s="44">
        <v>2280.2869999999998</v>
      </c>
      <c r="N27" s="45">
        <f t="shared" si="4"/>
        <v>0.72073717075464949</v>
      </c>
      <c r="O27" s="54">
        <f t="shared" si="5"/>
        <v>4</v>
      </c>
      <c r="P27" s="44">
        <v>80.203999999999994</v>
      </c>
      <c r="Q27" s="45">
        <f t="shared" si="6"/>
        <v>2.5350319518203591E-2</v>
      </c>
      <c r="R27" s="55">
        <f t="shared" si="7"/>
        <v>2</v>
      </c>
      <c r="S27" s="46">
        <f t="shared" si="8"/>
        <v>1</v>
      </c>
      <c r="T27" s="44">
        <f>505.368+M27</f>
        <v>2785.6549999999997</v>
      </c>
      <c r="U27" s="45">
        <f t="shared" si="9"/>
        <v>0.88047035456437861</v>
      </c>
      <c r="V27" s="46">
        <f t="shared" si="10"/>
        <v>4</v>
      </c>
      <c r="W27" s="44">
        <v>2568.8589999999999</v>
      </c>
      <c r="X27" s="52">
        <v>426.37599999999998</v>
      </c>
      <c r="Y27" s="45">
        <f t="shared" si="11"/>
        <v>0.13476594477698836</v>
      </c>
      <c r="Z27" s="46">
        <f t="shared" si="12"/>
        <v>2</v>
      </c>
      <c r="AA27" s="57">
        <f t="shared" si="13"/>
        <v>3</v>
      </c>
      <c r="AB27" s="61">
        <f t="shared" si="14"/>
        <v>3</v>
      </c>
      <c r="AC27" s="88">
        <v>1</v>
      </c>
      <c r="AD27" s="59">
        <f t="shared" si="15"/>
        <v>3</v>
      </c>
      <c r="AE27" s="61">
        <f t="shared" si="16"/>
        <v>2</v>
      </c>
      <c r="AF27" s="63">
        <f t="shared" si="17"/>
        <v>2</v>
      </c>
      <c r="AG27" s="23">
        <v>1</v>
      </c>
      <c r="AH27" s="23">
        <v>5</v>
      </c>
      <c r="AI27" s="23">
        <f t="shared" si="18"/>
        <v>5</v>
      </c>
      <c r="AJ27" s="109">
        <f t="shared" si="19"/>
        <v>1</v>
      </c>
    </row>
    <row r="28" spans="1:36" x14ac:dyDescent="0.2">
      <c r="Q28" s="26"/>
      <c r="R28" s="26"/>
    </row>
  </sheetData>
  <sortState xmlns:xlrd2="http://schemas.microsoft.com/office/spreadsheetml/2017/richdata2" ref="A2:AJ27">
    <sortCondition ref="A2:A2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28"/>
  <sheetViews>
    <sheetView topLeftCell="W1" zoomScale="80" zoomScaleNormal="80" workbookViewId="0">
      <selection activeCell="AC42" sqref="AC42"/>
    </sheetView>
  </sheetViews>
  <sheetFormatPr defaultColWidth="8.7109375" defaultRowHeight="15" x14ac:dyDescent="0.25"/>
  <cols>
    <col min="1" max="1" width="8.140625" style="2" customWidth="1"/>
    <col min="2" max="2" width="25.5703125" style="2" customWidth="1"/>
    <col min="3" max="3" width="13" style="2" customWidth="1"/>
    <col min="4" max="4" width="15.5703125" style="6" customWidth="1"/>
    <col min="5" max="6" width="14.140625" style="6" customWidth="1"/>
    <col min="7" max="7" width="14.7109375" style="2" customWidth="1"/>
    <col min="8" max="8" width="14.140625" style="2" customWidth="1"/>
    <col min="9" max="9" width="15.7109375" style="2" customWidth="1"/>
    <col min="10" max="13" width="14.7109375" style="2" customWidth="1"/>
    <col min="14" max="16" width="15.140625" style="2" customWidth="1"/>
    <col min="17" max="17" width="14" style="2" customWidth="1"/>
    <col min="18" max="18" width="17.28515625" style="2" customWidth="1"/>
    <col min="19" max="19" width="12" customWidth="1"/>
    <col min="20" max="20" width="13.42578125" style="2" customWidth="1"/>
    <col min="21" max="21" width="13.85546875" style="3" customWidth="1"/>
    <col min="22" max="22" width="19.5703125" style="2" customWidth="1"/>
    <col min="23" max="23" width="17.7109375" style="2" customWidth="1"/>
    <col min="24" max="24" width="15.5703125" style="2" customWidth="1"/>
    <col min="25" max="25" width="19.140625" style="2" customWidth="1"/>
    <col min="26" max="26" width="16.5703125" style="2" customWidth="1"/>
    <col min="27" max="27" width="20.85546875" style="2" customWidth="1"/>
    <col min="28" max="28" width="17.5703125" style="2" customWidth="1"/>
    <col min="29" max="29" width="15.7109375" style="2" customWidth="1"/>
    <col min="30" max="30" width="15.42578125" style="27" customWidth="1"/>
    <col min="31" max="31" width="14.5703125" style="27" customWidth="1"/>
    <col min="32" max="32" width="15.140625" style="27" customWidth="1"/>
    <col min="33" max="33" width="16" style="27" customWidth="1"/>
    <col min="34" max="34" width="15.140625" style="27" customWidth="1"/>
    <col min="35" max="35" width="14.5703125" style="27" customWidth="1"/>
    <col min="36" max="36" width="18" style="27" customWidth="1"/>
    <col min="37" max="37" width="16.28515625" style="27" customWidth="1"/>
    <col min="38" max="38" width="14.42578125" style="2" customWidth="1"/>
    <col min="39" max="16384" width="8.7109375" style="2"/>
  </cols>
  <sheetData>
    <row r="1" spans="1:38" ht="114.75" x14ac:dyDescent="0.2">
      <c r="A1" s="32" t="s">
        <v>0</v>
      </c>
      <c r="B1" s="33" t="s">
        <v>1</v>
      </c>
      <c r="C1" s="12" t="s">
        <v>2</v>
      </c>
      <c r="D1" s="13" t="s">
        <v>3</v>
      </c>
      <c r="E1" s="13" t="s">
        <v>4</v>
      </c>
      <c r="F1" s="13" t="s">
        <v>66</v>
      </c>
      <c r="G1" s="13" t="s">
        <v>6</v>
      </c>
      <c r="H1" s="13" t="s">
        <v>7</v>
      </c>
      <c r="I1" s="14" t="s">
        <v>8</v>
      </c>
      <c r="J1" s="12" t="s">
        <v>67</v>
      </c>
      <c r="K1" s="13" t="s">
        <v>10</v>
      </c>
      <c r="L1" s="13" t="s">
        <v>80</v>
      </c>
      <c r="M1" s="14" t="s">
        <v>11</v>
      </c>
      <c r="N1" s="12" t="s">
        <v>12</v>
      </c>
      <c r="O1" s="13" t="s">
        <v>13</v>
      </c>
      <c r="P1" s="14" t="s">
        <v>14</v>
      </c>
      <c r="Q1" s="12" t="s">
        <v>81</v>
      </c>
      <c r="R1" s="13" t="s">
        <v>82</v>
      </c>
      <c r="S1" s="13" t="s">
        <v>83</v>
      </c>
      <c r="T1" s="13" t="s">
        <v>84</v>
      </c>
      <c r="U1" s="14" t="s">
        <v>85</v>
      </c>
      <c r="V1" s="12" t="s">
        <v>22</v>
      </c>
      <c r="W1" s="13" t="s">
        <v>23</v>
      </c>
      <c r="X1" s="14" t="s">
        <v>21</v>
      </c>
      <c r="Y1" s="20" t="s">
        <v>25</v>
      </c>
      <c r="Z1" s="13" t="s">
        <v>26</v>
      </c>
      <c r="AA1" s="13" t="s">
        <v>74</v>
      </c>
      <c r="AB1" s="14" t="s">
        <v>24</v>
      </c>
      <c r="AC1" s="68" t="s">
        <v>29</v>
      </c>
      <c r="AD1" s="22" t="s">
        <v>30</v>
      </c>
      <c r="AE1" s="11" t="s">
        <v>31</v>
      </c>
      <c r="AF1" s="24" t="s">
        <v>32</v>
      </c>
      <c r="AG1" s="22" t="s">
        <v>33</v>
      </c>
      <c r="AH1" s="22" t="s">
        <v>34</v>
      </c>
      <c r="AI1" s="10" t="s">
        <v>35</v>
      </c>
      <c r="AJ1" s="10" t="s">
        <v>36</v>
      </c>
      <c r="AK1" s="10" t="s">
        <v>37</v>
      </c>
      <c r="AL1" s="10" t="s">
        <v>38</v>
      </c>
    </row>
    <row r="2" spans="1:38" x14ac:dyDescent="0.2">
      <c r="A2" s="34">
        <v>1</v>
      </c>
      <c r="B2" s="47" t="s">
        <v>39</v>
      </c>
      <c r="C2" s="15">
        <v>24016.080000000002</v>
      </c>
      <c r="D2" s="39">
        <v>6385.7330000000002</v>
      </c>
      <c r="E2" s="39">
        <v>6168.7169999999996</v>
      </c>
      <c r="F2" s="39">
        <v>36.640999999999998</v>
      </c>
      <c r="G2" s="39">
        <v>67</v>
      </c>
      <c r="H2" s="40">
        <f t="shared" ref="H2:H27" si="0">E2/C2</f>
        <v>0.25685778028720752</v>
      </c>
      <c r="I2" s="41">
        <f t="shared" ref="I2:I27" si="1">IF(H2&lt;10%,1,IF(H2&lt;20%,2,IF(H2&lt;30%,3,4)))</f>
        <v>3</v>
      </c>
      <c r="J2" s="15">
        <f>1687.589+12.365+3.022+1.171</f>
        <v>1704.1469999999999</v>
      </c>
      <c r="K2" s="40">
        <f t="shared" ref="K2:K27" si="2">J2/E2</f>
        <v>0.27625631067205708</v>
      </c>
      <c r="L2" s="42">
        <f t="shared" ref="L2:L27" si="3">M2*2</f>
        <v>8</v>
      </c>
      <c r="M2" s="41">
        <f t="shared" ref="M2:M27" si="4">IF(K2&lt;5%,1,IF(K2&lt;15%,2,IF(K2&lt;25%,3,4)))</f>
        <v>4</v>
      </c>
      <c r="N2" s="15">
        <f>906.724+13.734</f>
        <v>920.45800000000008</v>
      </c>
      <c r="O2" s="40">
        <f t="shared" ref="O2:O27" si="5">N2/E2</f>
        <v>0.14921384787144557</v>
      </c>
      <c r="P2" s="53">
        <f t="shared" ref="P2:P27" si="6">IF(O2&lt;5%,1,IF(O2&lt;20%,2,IF(O2&lt;40%,3,4)))</f>
        <v>2</v>
      </c>
      <c r="Q2" s="15">
        <f>1463.78+N2</f>
        <v>2384.2380000000003</v>
      </c>
      <c r="R2" s="39">
        <v>1396.6389999999999</v>
      </c>
      <c r="S2" s="70">
        <f t="shared" ref="S2:S27" si="7">R2/E2</f>
        <v>0.22640672282421126</v>
      </c>
      <c r="T2" s="40">
        <f t="shared" ref="T2:T12" si="8">Q2/E2</f>
        <v>0.38650468160559165</v>
      </c>
      <c r="U2" s="41">
        <f t="shared" ref="U2:U27" si="9">IF(T2&lt;10%,1,IF(T2&lt;50%,2,IF(T2&lt;70%,3,IF(T2&lt;99%,4))))</f>
        <v>2</v>
      </c>
      <c r="V2" s="15">
        <v>2661.2779999999998</v>
      </c>
      <c r="W2" s="40">
        <f t="shared" ref="W2:W27" si="10">V2/E2</f>
        <v>0.43141515488552967</v>
      </c>
      <c r="X2" s="41">
        <f t="shared" ref="X2:X27" si="11">IF(W2&lt;10%,1,IF(W2&lt;50%,2,IF(W2&lt;80%,3,IF(W2&gt;80%,4))))</f>
        <v>2</v>
      </c>
      <c r="Y2" s="15">
        <v>2752.9920000000002</v>
      </c>
      <c r="Z2" s="39">
        <v>986.7</v>
      </c>
      <c r="AA2" s="40">
        <f t="shared" ref="AA2:AA27" si="12">Z2/E2</f>
        <v>0.15995222345262397</v>
      </c>
      <c r="AB2" s="41">
        <f t="shared" ref="AB2:AB27" si="13">IF(AA2&lt;5%,1,IF(AA2&lt;15%,2,IF(AA2&lt;25%,3,IF(AA2&lt;40,4))))</f>
        <v>3</v>
      </c>
      <c r="AC2" s="57">
        <f t="shared" ref="AC2:AC27" si="14">(AB2+X2+U2+P2+L2+I2)/6</f>
        <v>3.3333333333333335</v>
      </c>
      <c r="AD2" s="60">
        <f t="shared" ref="AD2:AD27" si="15">IF(AC2&lt;1.5,1,IF(AC2&lt;2.5,2,IF(AC2&lt;3.5,3,4)))</f>
        <v>3</v>
      </c>
      <c r="AE2" s="58">
        <v>2</v>
      </c>
      <c r="AF2" s="59">
        <f t="shared" ref="AF2:AF27" si="16">AD2*AE2</f>
        <v>6</v>
      </c>
      <c r="AG2" s="60">
        <f t="shared" ref="AG2:AG27" si="17">IF(AF2&lt;3,1,IF(AF2&lt;5,2,IF(AF2&lt;12,3,4)))</f>
        <v>3</v>
      </c>
      <c r="AH2" s="64">
        <v>3</v>
      </c>
      <c r="AI2" s="23">
        <v>2</v>
      </c>
      <c r="AJ2" s="48">
        <v>5</v>
      </c>
      <c r="AK2" s="23">
        <f>AI2*AJ2</f>
        <v>10</v>
      </c>
      <c r="AL2" s="96">
        <f>IF(AK2&lt;6,1,IF(AK2&lt;12,2,IF(AK2&lt;18,3,4)))</f>
        <v>2</v>
      </c>
    </row>
    <row r="3" spans="1:38" x14ac:dyDescent="0.2">
      <c r="A3" s="34">
        <v>2</v>
      </c>
      <c r="B3" s="47" t="s">
        <v>40</v>
      </c>
      <c r="C3" s="15">
        <v>3218.24</v>
      </c>
      <c r="D3" s="39">
        <v>1530.242</v>
      </c>
      <c r="E3" s="39">
        <v>1499.578</v>
      </c>
      <c r="F3" s="39">
        <v>0.13700000000000001</v>
      </c>
      <c r="G3" s="39">
        <v>71</v>
      </c>
      <c r="H3" s="40">
        <f t="shared" si="0"/>
        <v>0.46596214079745452</v>
      </c>
      <c r="I3" s="41">
        <f t="shared" si="1"/>
        <v>4</v>
      </c>
      <c r="J3" s="15">
        <v>362.15199999999999</v>
      </c>
      <c r="K3" s="40">
        <f t="shared" si="2"/>
        <v>0.24150260940077808</v>
      </c>
      <c r="L3" s="42">
        <f t="shared" si="3"/>
        <v>6</v>
      </c>
      <c r="M3" s="41">
        <f t="shared" si="4"/>
        <v>3</v>
      </c>
      <c r="N3" s="15">
        <v>532.70000000000005</v>
      </c>
      <c r="O3" s="40">
        <f t="shared" si="5"/>
        <v>0.35523327229393875</v>
      </c>
      <c r="P3" s="53">
        <f t="shared" si="6"/>
        <v>3</v>
      </c>
      <c r="Q3" s="15">
        <f>10.944+N3</f>
        <v>543.64400000000001</v>
      </c>
      <c r="R3" s="39">
        <v>493.10500000000002</v>
      </c>
      <c r="S3" s="70">
        <f t="shared" si="7"/>
        <v>0.32882917727520677</v>
      </c>
      <c r="T3" s="40">
        <f t="shared" si="8"/>
        <v>0.36253132547956829</v>
      </c>
      <c r="U3" s="41">
        <f t="shared" si="9"/>
        <v>2</v>
      </c>
      <c r="V3" s="15">
        <f>569.513+N3</f>
        <v>1102.2130000000002</v>
      </c>
      <c r="W3" s="40">
        <f t="shared" si="10"/>
        <v>0.73501545101355192</v>
      </c>
      <c r="X3" s="41">
        <f t="shared" si="11"/>
        <v>3</v>
      </c>
      <c r="Y3" s="15">
        <v>1269.4590000000001</v>
      </c>
      <c r="Z3" s="39">
        <v>413.60700000000003</v>
      </c>
      <c r="AA3" s="40">
        <f t="shared" si="12"/>
        <v>0.27581559612104206</v>
      </c>
      <c r="AB3" s="41">
        <f t="shared" si="13"/>
        <v>4</v>
      </c>
      <c r="AC3" s="57">
        <f t="shared" si="14"/>
        <v>3.6666666666666665</v>
      </c>
      <c r="AD3" s="60">
        <f t="shared" si="15"/>
        <v>4</v>
      </c>
      <c r="AE3" s="58">
        <v>2</v>
      </c>
      <c r="AF3" s="59">
        <f t="shared" si="16"/>
        <v>8</v>
      </c>
      <c r="AG3" s="60">
        <f t="shared" si="17"/>
        <v>3</v>
      </c>
      <c r="AH3" s="64">
        <v>3</v>
      </c>
      <c r="AI3" s="23">
        <v>2</v>
      </c>
      <c r="AJ3" s="48">
        <v>5</v>
      </c>
      <c r="AK3" s="23">
        <f t="shared" ref="AK3:AK27" si="18">AI3*AJ3</f>
        <v>10</v>
      </c>
      <c r="AL3" s="96">
        <f t="shared" ref="AL3:AL27" si="19">IF(AK3&lt;6,1,IF(AK3&lt;12,2,IF(AK3&lt;18,3,4)))</f>
        <v>2</v>
      </c>
    </row>
    <row r="4" spans="1:38" x14ac:dyDescent="0.2">
      <c r="A4" s="34">
        <v>3</v>
      </c>
      <c r="B4" s="49" t="s">
        <v>41</v>
      </c>
      <c r="C4" s="15">
        <v>1150.71</v>
      </c>
      <c r="D4" s="39">
        <v>53.204999999999998</v>
      </c>
      <c r="E4" s="39">
        <v>50.284999999999997</v>
      </c>
      <c r="F4" s="39">
        <v>14.334</v>
      </c>
      <c r="G4" s="39">
        <v>80</v>
      </c>
      <c r="H4" s="40">
        <f t="shared" si="0"/>
        <v>4.3699107507538817E-2</v>
      </c>
      <c r="I4" s="41">
        <f t="shared" si="1"/>
        <v>1</v>
      </c>
      <c r="J4" s="15">
        <v>38.387</v>
      </c>
      <c r="K4" s="40">
        <f t="shared" si="2"/>
        <v>0.76338868449835939</v>
      </c>
      <c r="L4" s="42">
        <f t="shared" si="3"/>
        <v>8</v>
      </c>
      <c r="M4" s="41">
        <f t="shared" si="4"/>
        <v>4</v>
      </c>
      <c r="N4" s="15">
        <v>3.2050000000000001</v>
      </c>
      <c r="O4" s="40">
        <f t="shared" si="5"/>
        <v>6.3736700805409177E-2</v>
      </c>
      <c r="P4" s="53">
        <f t="shared" si="6"/>
        <v>2</v>
      </c>
      <c r="Q4" s="15">
        <v>4.0359999999999996</v>
      </c>
      <c r="R4" s="39">
        <v>6.484</v>
      </c>
      <c r="S4" s="70">
        <f t="shared" si="7"/>
        <v>0.12894501342348613</v>
      </c>
      <c r="T4" s="40">
        <f t="shared" si="8"/>
        <v>8.0262503728746146E-2</v>
      </c>
      <c r="U4" s="41">
        <f t="shared" si="9"/>
        <v>1</v>
      </c>
      <c r="V4" s="15">
        <f>6.484+N4</f>
        <v>9.6890000000000001</v>
      </c>
      <c r="W4" s="40">
        <f t="shared" si="10"/>
        <v>0.19268171422889532</v>
      </c>
      <c r="X4" s="41">
        <f t="shared" si="11"/>
        <v>2</v>
      </c>
      <c r="Y4" s="15">
        <v>30.716000000000001</v>
      </c>
      <c r="Z4" s="39">
        <v>5.35</v>
      </c>
      <c r="AA4" s="40">
        <f t="shared" si="12"/>
        <v>0.10639355672665805</v>
      </c>
      <c r="AB4" s="41">
        <f t="shared" si="13"/>
        <v>2</v>
      </c>
      <c r="AC4" s="57">
        <f t="shared" si="14"/>
        <v>2.6666666666666665</v>
      </c>
      <c r="AD4" s="60">
        <f t="shared" si="15"/>
        <v>3</v>
      </c>
      <c r="AE4" s="58">
        <v>3</v>
      </c>
      <c r="AF4" s="59">
        <f t="shared" si="16"/>
        <v>9</v>
      </c>
      <c r="AG4" s="60">
        <f t="shared" si="17"/>
        <v>3</v>
      </c>
      <c r="AH4" s="64">
        <v>3</v>
      </c>
      <c r="AI4" s="23">
        <v>2</v>
      </c>
      <c r="AJ4" s="48">
        <v>5</v>
      </c>
      <c r="AK4" s="23">
        <f t="shared" si="18"/>
        <v>10</v>
      </c>
      <c r="AL4" s="96">
        <f t="shared" si="19"/>
        <v>2</v>
      </c>
    </row>
    <row r="5" spans="1:38" x14ac:dyDescent="0.2">
      <c r="A5" s="34">
        <v>4</v>
      </c>
      <c r="B5" s="47" t="s">
        <v>42</v>
      </c>
      <c r="C5" s="15">
        <v>2072.1999999999998</v>
      </c>
      <c r="D5" s="39">
        <v>913.41800000000001</v>
      </c>
      <c r="E5" s="39">
        <v>870.41700000000003</v>
      </c>
      <c r="F5" s="39">
        <v>5.0350000000000001</v>
      </c>
      <c r="G5" s="39">
        <v>62</v>
      </c>
      <c r="H5" s="40">
        <f t="shared" si="0"/>
        <v>0.42004487983785355</v>
      </c>
      <c r="I5" s="41">
        <f t="shared" si="1"/>
        <v>4</v>
      </c>
      <c r="J5" s="15">
        <v>47.435000000000002</v>
      </c>
      <c r="K5" s="40">
        <f t="shared" si="2"/>
        <v>5.4496867593348937E-2</v>
      </c>
      <c r="L5" s="42">
        <f t="shared" si="3"/>
        <v>4</v>
      </c>
      <c r="M5" s="41">
        <f t="shared" si="4"/>
        <v>2</v>
      </c>
      <c r="N5" s="15">
        <v>598.63</v>
      </c>
      <c r="O5" s="40">
        <f t="shared" si="5"/>
        <v>0.68775081369044944</v>
      </c>
      <c r="P5" s="53">
        <f t="shared" si="6"/>
        <v>4</v>
      </c>
      <c r="Q5" s="15">
        <v>643.08600000000001</v>
      </c>
      <c r="R5" s="39">
        <v>74.016999999999996</v>
      </c>
      <c r="S5" s="70">
        <f t="shared" si="7"/>
        <v>8.5036252738629872E-2</v>
      </c>
      <c r="T5" s="40">
        <f t="shared" si="8"/>
        <v>0.73882518379121731</v>
      </c>
      <c r="U5" s="41">
        <f t="shared" si="9"/>
        <v>4</v>
      </c>
      <c r="V5" s="15">
        <f>88.824+N5</f>
        <v>687.45399999999995</v>
      </c>
      <c r="W5" s="40">
        <f t="shared" si="10"/>
        <v>0.78979845292543682</v>
      </c>
      <c r="X5" s="41">
        <f t="shared" si="11"/>
        <v>3</v>
      </c>
      <c r="Y5" s="15">
        <v>819.81700000000001</v>
      </c>
      <c r="Z5" s="39">
        <v>6.2889999999999997</v>
      </c>
      <c r="AA5" s="40">
        <f t="shared" si="12"/>
        <v>7.225272484337966E-3</v>
      </c>
      <c r="AB5" s="41">
        <f t="shared" si="13"/>
        <v>1</v>
      </c>
      <c r="AC5" s="57">
        <f t="shared" si="14"/>
        <v>3.3333333333333335</v>
      </c>
      <c r="AD5" s="60">
        <f t="shared" si="15"/>
        <v>3</v>
      </c>
      <c r="AE5" s="58">
        <v>2</v>
      </c>
      <c r="AF5" s="59">
        <f t="shared" si="16"/>
        <v>6</v>
      </c>
      <c r="AG5" s="60">
        <f t="shared" si="17"/>
        <v>3</v>
      </c>
      <c r="AH5" s="64">
        <v>3</v>
      </c>
      <c r="AI5" s="23">
        <v>2</v>
      </c>
      <c r="AJ5" s="48">
        <v>5</v>
      </c>
      <c r="AK5" s="23">
        <f t="shared" si="18"/>
        <v>10</v>
      </c>
      <c r="AL5" s="96">
        <f t="shared" si="19"/>
        <v>2</v>
      </c>
    </row>
    <row r="6" spans="1:38" x14ac:dyDescent="0.2">
      <c r="A6" s="34">
        <v>5</v>
      </c>
      <c r="B6" s="47" t="s">
        <v>43</v>
      </c>
      <c r="C6" s="15">
        <v>8249.25</v>
      </c>
      <c r="D6" s="39">
        <f>4484.424+544.68</f>
        <v>5029.1040000000003</v>
      </c>
      <c r="E6" s="39">
        <f>4107.924+346.657</f>
        <v>4454.5810000000001</v>
      </c>
      <c r="F6" s="39">
        <v>3.2559999999999998</v>
      </c>
      <c r="G6" s="39">
        <v>75</v>
      </c>
      <c r="H6" s="40">
        <f t="shared" si="0"/>
        <v>0.53999830287601902</v>
      </c>
      <c r="I6" s="41">
        <f t="shared" si="1"/>
        <v>4</v>
      </c>
      <c r="J6" s="15">
        <v>242.732</v>
      </c>
      <c r="K6" s="40">
        <f t="shared" si="2"/>
        <v>5.4490422331527927E-2</v>
      </c>
      <c r="L6" s="42">
        <f t="shared" si="3"/>
        <v>4</v>
      </c>
      <c r="M6" s="41">
        <f t="shared" si="4"/>
        <v>2</v>
      </c>
      <c r="N6" s="15">
        <f>2747.98+345.901</f>
        <v>3093.8809999999999</v>
      </c>
      <c r="O6" s="40">
        <f t="shared" si="5"/>
        <v>0.69453917214660588</v>
      </c>
      <c r="P6" s="53">
        <f t="shared" si="6"/>
        <v>4</v>
      </c>
      <c r="Q6" s="15">
        <v>2634.0619999999999</v>
      </c>
      <c r="R6" s="39">
        <f>258.331+N6</f>
        <v>3352.212</v>
      </c>
      <c r="S6" s="70">
        <f t="shared" si="7"/>
        <v>0.75253138286182242</v>
      </c>
      <c r="T6" s="40">
        <f t="shared" si="8"/>
        <v>0.59131532236140727</v>
      </c>
      <c r="U6" s="41">
        <f t="shared" si="9"/>
        <v>3</v>
      </c>
      <c r="V6" s="15">
        <f>604.656+N6</f>
        <v>3698.5369999999998</v>
      </c>
      <c r="W6" s="40">
        <f t="shared" si="10"/>
        <v>0.83027719105343456</v>
      </c>
      <c r="X6" s="41">
        <f t="shared" si="11"/>
        <v>4</v>
      </c>
      <c r="Y6" s="15">
        <v>3300.3150000000001</v>
      </c>
      <c r="Z6" s="39">
        <v>314.87799999999999</v>
      </c>
      <c r="AA6" s="40">
        <f t="shared" si="12"/>
        <v>7.0686333911090624E-2</v>
      </c>
      <c r="AB6" s="41">
        <f t="shared" si="13"/>
        <v>2</v>
      </c>
      <c r="AC6" s="57">
        <f t="shared" si="14"/>
        <v>3.5</v>
      </c>
      <c r="AD6" s="60">
        <f t="shared" si="15"/>
        <v>4</v>
      </c>
      <c r="AE6" s="58">
        <v>2</v>
      </c>
      <c r="AF6" s="59">
        <f t="shared" si="16"/>
        <v>8</v>
      </c>
      <c r="AG6" s="60">
        <f t="shared" si="17"/>
        <v>3</v>
      </c>
      <c r="AH6" s="64">
        <v>3</v>
      </c>
      <c r="AI6" s="23">
        <v>2</v>
      </c>
      <c r="AJ6" s="48">
        <v>5</v>
      </c>
      <c r="AK6" s="23">
        <f t="shared" si="18"/>
        <v>10</v>
      </c>
      <c r="AL6" s="96">
        <f t="shared" si="19"/>
        <v>2</v>
      </c>
    </row>
    <row r="7" spans="1:38" x14ac:dyDescent="0.2">
      <c r="A7" s="34">
        <v>6</v>
      </c>
      <c r="B7" s="47" t="s">
        <v>44</v>
      </c>
      <c r="C7" s="15">
        <v>15254.96</v>
      </c>
      <c r="D7" s="39">
        <v>4533.4790000000003</v>
      </c>
      <c r="E7" s="39">
        <v>4403.652</v>
      </c>
      <c r="F7" s="39">
        <v>39.305999999999997</v>
      </c>
      <c r="G7" s="39">
        <v>70</v>
      </c>
      <c r="H7" s="40">
        <f t="shared" si="0"/>
        <v>0.2886701767818467</v>
      </c>
      <c r="I7" s="41">
        <f t="shared" si="1"/>
        <v>3</v>
      </c>
      <c r="J7" s="15">
        <v>1793.902</v>
      </c>
      <c r="K7" s="40">
        <f t="shared" si="2"/>
        <v>0.4073668854850474</v>
      </c>
      <c r="L7" s="42">
        <f t="shared" si="3"/>
        <v>8</v>
      </c>
      <c r="M7" s="41">
        <f t="shared" si="4"/>
        <v>4</v>
      </c>
      <c r="N7" s="15">
        <v>1620.4559999999999</v>
      </c>
      <c r="O7" s="40">
        <f t="shared" si="5"/>
        <v>0.36798003111962524</v>
      </c>
      <c r="P7" s="53">
        <f t="shared" si="6"/>
        <v>3</v>
      </c>
      <c r="Q7" s="15">
        <f>107.314+N7</f>
        <v>1727.77</v>
      </c>
      <c r="R7" s="39">
        <v>677.01400000000001</v>
      </c>
      <c r="S7" s="70">
        <f t="shared" si="7"/>
        <v>0.15373921463367224</v>
      </c>
      <c r="T7" s="40">
        <f t="shared" si="8"/>
        <v>0.39234935003946725</v>
      </c>
      <c r="U7" s="41">
        <f t="shared" si="9"/>
        <v>2</v>
      </c>
      <c r="V7" s="15">
        <f>853.031+N7</f>
        <v>2473.4870000000001</v>
      </c>
      <c r="W7" s="40">
        <f t="shared" si="10"/>
        <v>0.56168993371864995</v>
      </c>
      <c r="X7" s="41">
        <f t="shared" si="11"/>
        <v>3</v>
      </c>
      <c r="Y7" s="15">
        <v>2789.2449999999999</v>
      </c>
      <c r="Z7" s="39">
        <v>2023.6759999999999</v>
      </c>
      <c r="AA7" s="40">
        <f t="shared" si="12"/>
        <v>0.45954494133505552</v>
      </c>
      <c r="AB7" s="41">
        <f t="shared" si="13"/>
        <v>4</v>
      </c>
      <c r="AC7" s="57">
        <f t="shared" si="14"/>
        <v>3.8333333333333335</v>
      </c>
      <c r="AD7" s="60">
        <f t="shared" si="15"/>
        <v>4</v>
      </c>
      <c r="AE7" s="58">
        <v>2</v>
      </c>
      <c r="AF7" s="59">
        <f t="shared" si="16"/>
        <v>8</v>
      </c>
      <c r="AG7" s="60">
        <f t="shared" si="17"/>
        <v>3</v>
      </c>
      <c r="AH7" s="64">
        <v>3</v>
      </c>
      <c r="AI7" s="23">
        <v>2</v>
      </c>
      <c r="AJ7" s="48">
        <v>5</v>
      </c>
      <c r="AK7" s="23">
        <f t="shared" si="18"/>
        <v>10</v>
      </c>
      <c r="AL7" s="96">
        <f t="shared" si="19"/>
        <v>2</v>
      </c>
    </row>
    <row r="8" spans="1:38" x14ac:dyDescent="0.2">
      <c r="A8" s="34">
        <v>7</v>
      </c>
      <c r="B8" s="47" t="s">
        <v>45</v>
      </c>
      <c r="C8" s="15">
        <v>7544.51</v>
      </c>
      <c r="D8" s="39">
        <f>5458.694+1032.261</f>
        <v>6490.9549999999999</v>
      </c>
      <c r="E8" s="39">
        <f>5363.368+759.835</f>
        <v>6123.2030000000004</v>
      </c>
      <c r="F8" s="39">
        <v>48.709000000000003</v>
      </c>
      <c r="G8" s="39">
        <v>69</v>
      </c>
      <c r="H8" s="40">
        <f t="shared" si="0"/>
        <v>0.81161042930554805</v>
      </c>
      <c r="I8" s="41">
        <f t="shared" si="1"/>
        <v>4</v>
      </c>
      <c r="J8" s="15">
        <v>5.8440000000000003</v>
      </c>
      <c r="K8" s="43">
        <f t="shared" si="2"/>
        <v>9.5440245897449418E-4</v>
      </c>
      <c r="L8" s="42">
        <f t="shared" si="3"/>
        <v>2</v>
      </c>
      <c r="M8" s="41">
        <f t="shared" si="4"/>
        <v>1</v>
      </c>
      <c r="N8" s="15">
        <f>5059.394+759.017</f>
        <v>5818.4110000000001</v>
      </c>
      <c r="O8" s="40">
        <f t="shared" si="5"/>
        <v>0.95022343698224598</v>
      </c>
      <c r="P8" s="53">
        <f t="shared" si="6"/>
        <v>4</v>
      </c>
      <c r="Q8" s="15">
        <f>41.564+N8</f>
        <v>5859.9750000000004</v>
      </c>
      <c r="R8" s="39">
        <f>102.129+0.004</f>
        <v>102.13300000000001</v>
      </c>
      <c r="S8" s="70">
        <f t="shared" si="7"/>
        <v>1.6679669120883305E-2</v>
      </c>
      <c r="T8" s="40">
        <f t="shared" si="8"/>
        <v>0.9570113876675328</v>
      </c>
      <c r="U8" s="41">
        <f t="shared" si="9"/>
        <v>4</v>
      </c>
      <c r="V8" s="15">
        <f>N8+114.681+0.004</f>
        <v>5933.0959999999995</v>
      </c>
      <c r="W8" s="40">
        <f t="shared" si="10"/>
        <v>0.96895301364334963</v>
      </c>
      <c r="X8" s="41">
        <f t="shared" si="11"/>
        <v>4</v>
      </c>
      <c r="Y8" s="15">
        <v>5154.2719999999999</v>
      </c>
      <c r="Z8" s="39">
        <v>1830.9960000000001</v>
      </c>
      <c r="AA8" s="40">
        <f t="shared" si="12"/>
        <v>0.29902585297270073</v>
      </c>
      <c r="AB8" s="41">
        <f t="shared" si="13"/>
        <v>4</v>
      </c>
      <c r="AC8" s="57">
        <f t="shared" si="14"/>
        <v>3.6666666666666665</v>
      </c>
      <c r="AD8" s="60">
        <f t="shared" si="15"/>
        <v>4</v>
      </c>
      <c r="AE8" s="58">
        <v>1</v>
      </c>
      <c r="AF8" s="59">
        <f t="shared" si="16"/>
        <v>4</v>
      </c>
      <c r="AG8" s="60">
        <f t="shared" si="17"/>
        <v>2</v>
      </c>
      <c r="AH8" s="63">
        <v>2</v>
      </c>
      <c r="AI8" s="23">
        <v>2</v>
      </c>
      <c r="AJ8" s="48">
        <v>5</v>
      </c>
      <c r="AK8" s="23">
        <f t="shared" si="18"/>
        <v>10</v>
      </c>
      <c r="AL8" s="96">
        <f t="shared" si="19"/>
        <v>2</v>
      </c>
    </row>
    <row r="9" spans="1:38" x14ac:dyDescent="0.2">
      <c r="A9" s="34">
        <v>8</v>
      </c>
      <c r="B9" s="47" t="s">
        <v>46</v>
      </c>
      <c r="C9" s="15">
        <v>3799.2</v>
      </c>
      <c r="D9" s="39">
        <f>1226.63+2004.323</f>
        <v>3230.9530000000004</v>
      </c>
      <c r="E9" s="39">
        <f>1202.96+1271.378</f>
        <v>2474.3379999999997</v>
      </c>
      <c r="F9" s="39">
        <v>18.247</v>
      </c>
      <c r="G9" s="39">
        <v>71</v>
      </c>
      <c r="H9" s="40">
        <f t="shared" si="0"/>
        <v>0.65127869025057905</v>
      </c>
      <c r="I9" s="41">
        <f t="shared" si="1"/>
        <v>4</v>
      </c>
      <c r="J9" s="15">
        <f>12.398+0.89</f>
        <v>13.288</v>
      </c>
      <c r="K9" s="40">
        <f t="shared" si="2"/>
        <v>5.3703253152964561E-3</v>
      </c>
      <c r="L9" s="42">
        <f t="shared" si="3"/>
        <v>2</v>
      </c>
      <c r="M9" s="41">
        <f t="shared" si="4"/>
        <v>1</v>
      </c>
      <c r="N9" s="15">
        <f>941.456+1148.167</f>
        <v>2089.623</v>
      </c>
      <c r="O9" s="40">
        <f t="shared" si="5"/>
        <v>0.84451800845317015</v>
      </c>
      <c r="P9" s="53">
        <f t="shared" si="6"/>
        <v>4</v>
      </c>
      <c r="Q9" s="15">
        <f>12.515+N9</f>
        <v>2102.1379999999999</v>
      </c>
      <c r="R9" s="39">
        <f>123.614+16.804+25.856</f>
        <v>166.274</v>
      </c>
      <c r="S9" s="70">
        <f t="shared" si="7"/>
        <v>6.7199388280825015E-2</v>
      </c>
      <c r="T9" s="40">
        <f t="shared" si="8"/>
        <v>0.84957592697521522</v>
      </c>
      <c r="U9" s="41">
        <f t="shared" si="9"/>
        <v>4</v>
      </c>
      <c r="V9" s="15">
        <f>49.884+N9+16.804</f>
        <v>2156.3110000000001</v>
      </c>
      <c r="W9" s="40">
        <f t="shared" si="10"/>
        <v>0.8714698638585352</v>
      </c>
      <c r="X9" s="41">
        <f t="shared" si="11"/>
        <v>4</v>
      </c>
      <c r="Y9" s="15">
        <v>1169.921</v>
      </c>
      <c r="Z9" s="39">
        <v>301.07299999999998</v>
      </c>
      <c r="AA9" s="40">
        <f t="shared" si="12"/>
        <v>0.12167820241211993</v>
      </c>
      <c r="AB9" s="41">
        <f t="shared" si="13"/>
        <v>2</v>
      </c>
      <c r="AC9" s="57">
        <f t="shared" si="14"/>
        <v>3.3333333333333335</v>
      </c>
      <c r="AD9" s="60">
        <f t="shared" si="15"/>
        <v>3</v>
      </c>
      <c r="AE9" s="58">
        <v>1</v>
      </c>
      <c r="AF9" s="59">
        <f t="shared" si="16"/>
        <v>3</v>
      </c>
      <c r="AG9" s="60">
        <f t="shared" si="17"/>
        <v>2</v>
      </c>
      <c r="AH9" s="63">
        <v>2</v>
      </c>
      <c r="AI9" s="23">
        <v>2</v>
      </c>
      <c r="AJ9" s="48">
        <v>5</v>
      </c>
      <c r="AK9" s="23">
        <f t="shared" si="18"/>
        <v>10</v>
      </c>
      <c r="AL9" s="96">
        <f t="shared" si="19"/>
        <v>2</v>
      </c>
    </row>
    <row r="10" spans="1:38" s="5" customFormat="1" x14ac:dyDescent="0.2">
      <c r="A10" s="34">
        <v>9</v>
      </c>
      <c r="B10" s="47" t="s">
        <v>47</v>
      </c>
      <c r="C10" s="15">
        <v>13032.67</v>
      </c>
      <c r="D10" s="39">
        <v>3043.2350000000001</v>
      </c>
      <c r="E10" s="39">
        <v>2962.317</v>
      </c>
      <c r="F10" s="39">
        <v>0</v>
      </c>
      <c r="G10" s="39">
        <v>65</v>
      </c>
      <c r="H10" s="40">
        <f t="shared" si="0"/>
        <v>0.22729931779136586</v>
      </c>
      <c r="I10" s="41">
        <f t="shared" si="1"/>
        <v>3</v>
      </c>
      <c r="J10" s="15">
        <v>691.61400000000003</v>
      </c>
      <c r="K10" s="40">
        <f t="shared" si="2"/>
        <v>0.23347062451452699</v>
      </c>
      <c r="L10" s="42">
        <f t="shared" si="3"/>
        <v>6</v>
      </c>
      <c r="M10" s="41">
        <f t="shared" si="4"/>
        <v>3</v>
      </c>
      <c r="N10" s="15">
        <v>1137.4079999999999</v>
      </c>
      <c r="O10" s="40">
        <f t="shared" si="5"/>
        <v>0.38395890784139575</v>
      </c>
      <c r="P10" s="53">
        <f t="shared" si="6"/>
        <v>3</v>
      </c>
      <c r="Q10" s="15">
        <f>319.429+N10</f>
        <v>1456.837</v>
      </c>
      <c r="R10" s="39">
        <v>587.57600000000002</v>
      </c>
      <c r="S10" s="70">
        <f t="shared" si="7"/>
        <v>0.19835014281050947</v>
      </c>
      <c r="T10" s="40">
        <f t="shared" si="8"/>
        <v>0.49178970380280029</v>
      </c>
      <c r="U10" s="41">
        <f t="shared" si="9"/>
        <v>2</v>
      </c>
      <c r="V10" s="15">
        <f>651.875+N10</f>
        <v>1789.2829999999999</v>
      </c>
      <c r="W10" s="40">
        <f t="shared" si="10"/>
        <v>0.60401469525374896</v>
      </c>
      <c r="X10" s="41">
        <f t="shared" si="11"/>
        <v>3</v>
      </c>
      <c r="Y10" s="15">
        <v>1429.96</v>
      </c>
      <c r="Z10" s="39">
        <v>947.75</v>
      </c>
      <c r="AA10" s="40">
        <f t="shared" si="12"/>
        <v>0.31993537491092278</v>
      </c>
      <c r="AB10" s="41">
        <f t="shared" si="13"/>
        <v>4</v>
      </c>
      <c r="AC10" s="57">
        <f t="shared" si="14"/>
        <v>3.5</v>
      </c>
      <c r="AD10" s="60">
        <f t="shared" si="15"/>
        <v>4</v>
      </c>
      <c r="AE10" s="58">
        <v>2</v>
      </c>
      <c r="AF10" s="59">
        <f t="shared" si="16"/>
        <v>8</v>
      </c>
      <c r="AG10" s="60">
        <f t="shared" si="17"/>
        <v>3</v>
      </c>
      <c r="AH10" s="64">
        <v>3</v>
      </c>
      <c r="AI10" s="23">
        <v>2</v>
      </c>
      <c r="AJ10" s="48">
        <v>5</v>
      </c>
      <c r="AK10" s="23">
        <f t="shared" si="18"/>
        <v>10</v>
      </c>
      <c r="AL10" s="96">
        <f t="shared" si="19"/>
        <v>2</v>
      </c>
    </row>
    <row r="11" spans="1:38" x14ac:dyDescent="0.2">
      <c r="A11" s="34">
        <v>10</v>
      </c>
      <c r="B11" s="47" t="s">
        <v>48</v>
      </c>
      <c r="C11" s="15">
        <v>10485.299999999999</v>
      </c>
      <c r="D11" s="39">
        <v>1960.377</v>
      </c>
      <c r="E11" s="39">
        <v>1923.1890000000001</v>
      </c>
      <c r="F11" s="39">
        <v>2.9609999999999999</v>
      </c>
      <c r="G11" s="39">
        <v>66</v>
      </c>
      <c r="H11" s="40">
        <f t="shared" si="0"/>
        <v>0.18341764184143516</v>
      </c>
      <c r="I11" s="41">
        <f t="shared" si="1"/>
        <v>2</v>
      </c>
      <c r="J11" s="15">
        <v>703.471</v>
      </c>
      <c r="K11" s="40">
        <f t="shared" si="2"/>
        <v>0.36578360213166777</v>
      </c>
      <c r="L11" s="42">
        <f t="shared" si="3"/>
        <v>8</v>
      </c>
      <c r="M11" s="41">
        <f t="shared" si="4"/>
        <v>4</v>
      </c>
      <c r="N11" s="15">
        <v>193.58699999999999</v>
      </c>
      <c r="O11" s="40">
        <f t="shared" si="5"/>
        <v>0.10065937357170823</v>
      </c>
      <c r="P11" s="53">
        <f t="shared" si="6"/>
        <v>2</v>
      </c>
      <c r="Q11" s="15">
        <f>678.177+N11</f>
        <v>871.76400000000001</v>
      </c>
      <c r="R11" s="39">
        <v>218.572</v>
      </c>
      <c r="S11" s="70">
        <f t="shared" si="7"/>
        <v>0.11365081643041844</v>
      </c>
      <c r="T11" s="40">
        <f t="shared" si="8"/>
        <v>0.45329086220855047</v>
      </c>
      <c r="U11" s="41">
        <f t="shared" si="9"/>
        <v>2</v>
      </c>
      <c r="V11" s="15">
        <f>715.49+N11</f>
        <v>909.077</v>
      </c>
      <c r="W11" s="40">
        <f t="shared" si="10"/>
        <v>0.47269249148159642</v>
      </c>
      <c r="X11" s="41">
        <f t="shared" si="11"/>
        <v>2</v>
      </c>
      <c r="Y11" s="15">
        <v>894.13900000000001</v>
      </c>
      <c r="Z11" s="39">
        <v>532.31899999999996</v>
      </c>
      <c r="AA11" s="40">
        <f t="shared" si="12"/>
        <v>0.27678974869344614</v>
      </c>
      <c r="AB11" s="41">
        <f t="shared" si="13"/>
        <v>4</v>
      </c>
      <c r="AC11" s="57">
        <f t="shared" si="14"/>
        <v>3.3333333333333335</v>
      </c>
      <c r="AD11" s="60">
        <f t="shared" si="15"/>
        <v>3</v>
      </c>
      <c r="AE11" s="58">
        <v>3</v>
      </c>
      <c r="AF11" s="59">
        <f t="shared" si="16"/>
        <v>9</v>
      </c>
      <c r="AG11" s="60">
        <f t="shared" si="17"/>
        <v>3</v>
      </c>
      <c r="AH11" s="64">
        <v>3</v>
      </c>
      <c r="AI11" s="23">
        <v>2</v>
      </c>
      <c r="AJ11" s="48">
        <v>5</v>
      </c>
      <c r="AK11" s="23">
        <f t="shared" si="18"/>
        <v>10</v>
      </c>
      <c r="AL11" s="96">
        <f t="shared" si="19"/>
        <v>2</v>
      </c>
    </row>
    <row r="12" spans="1:38" x14ac:dyDescent="0.2">
      <c r="A12" s="34">
        <v>11</v>
      </c>
      <c r="B12" s="47" t="s">
        <v>49</v>
      </c>
      <c r="C12" s="15">
        <v>15990.05</v>
      </c>
      <c r="D12" s="39">
        <v>4939.9030000000002</v>
      </c>
      <c r="E12" s="39">
        <v>4867.3379999999997</v>
      </c>
      <c r="F12" s="39">
        <v>8.5060000000000002</v>
      </c>
      <c r="G12" s="39">
        <v>70</v>
      </c>
      <c r="H12" s="40">
        <f t="shared" si="0"/>
        <v>0.3043979224580286</v>
      </c>
      <c r="I12" s="41">
        <f t="shared" si="1"/>
        <v>4</v>
      </c>
      <c r="J12" s="15">
        <v>1854.19</v>
      </c>
      <c r="K12" s="40">
        <f t="shared" si="2"/>
        <v>0.380945395614605</v>
      </c>
      <c r="L12" s="42">
        <f t="shared" si="3"/>
        <v>8</v>
      </c>
      <c r="M12" s="41">
        <f t="shared" si="4"/>
        <v>4</v>
      </c>
      <c r="N12" s="15">
        <v>1603.7940000000001</v>
      </c>
      <c r="O12" s="40">
        <f t="shared" si="5"/>
        <v>0.32950125920985973</v>
      </c>
      <c r="P12" s="53">
        <f t="shared" si="6"/>
        <v>3</v>
      </c>
      <c r="Q12" s="15">
        <f>180.431+N12</f>
        <v>1784.2250000000001</v>
      </c>
      <c r="R12" s="71">
        <v>958.62800000000004</v>
      </c>
      <c r="S12" s="70">
        <f t="shared" si="7"/>
        <v>0.19695118769232794</v>
      </c>
      <c r="T12" s="40">
        <f t="shared" si="8"/>
        <v>0.3665710086293576</v>
      </c>
      <c r="U12" s="41">
        <f t="shared" si="9"/>
        <v>2</v>
      </c>
      <c r="V12" s="56">
        <v>1098.9010000000001</v>
      </c>
      <c r="W12" s="40">
        <f t="shared" si="10"/>
        <v>0.22577043139391595</v>
      </c>
      <c r="X12" s="41">
        <f t="shared" si="11"/>
        <v>2</v>
      </c>
      <c r="Y12" s="15">
        <v>3590.5189999999998</v>
      </c>
      <c r="Z12" s="39">
        <v>1199.6489999999999</v>
      </c>
      <c r="AA12" s="40">
        <f t="shared" si="12"/>
        <v>0.24646921993089446</v>
      </c>
      <c r="AB12" s="41">
        <f t="shared" si="13"/>
        <v>3</v>
      </c>
      <c r="AC12" s="57">
        <f t="shared" si="14"/>
        <v>3.6666666666666665</v>
      </c>
      <c r="AD12" s="60">
        <f t="shared" si="15"/>
        <v>4</v>
      </c>
      <c r="AE12" s="58">
        <v>2</v>
      </c>
      <c r="AF12" s="59">
        <f t="shared" si="16"/>
        <v>8</v>
      </c>
      <c r="AG12" s="60">
        <f t="shared" si="17"/>
        <v>3</v>
      </c>
      <c r="AH12" s="64">
        <v>3</v>
      </c>
      <c r="AI12" s="23">
        <v>2</v>
      </c>
      <c r="AJ12" s="48">
        <v>5</v>
      </c>
      <c r="AK12" s="23">
        <f t="shared" si="18"/>
        <v>10</v>
      </c>
      <c r="AL12" s="96">
        <f t="shared" si="19"/>
        <v>2</v>
      </c>
    </row>
    <row r="13" spans="1:38" x14ac:dyDescent="0.2">
      <c r="A13" s="34">
        <v>12</v>
      </c>
      <c r="B13" s="47" t="s">
        <v>50</v>
      </c>
      <c r="C13" s="15">
        <v>14508.82</v>
      </c>
      <c r="D13" s="39">
        <v>2204.8339999999998</v>
      </c>
      <c r="E13" s="39">
        <v>2136.7280000000001</v>
      </c>
      <c r="F13" s="39">
        <v>2.9550000000000001</v>
      </c>
      <c r="G13" s="39">
        <v>73</v>
      </c>
      <c r="H13" s="40">
        <f t="shared" si="0"/>
        <v>0.14727097034769196</v>
      </c>
      <c r="I13" s="41">
        <f t="shared" si="1"/>
        <v>2</v>
      </c>
      <c r="J13" s="15">
        <v>1229.4069999999999</v>
      </c>
      <c r="K13" s="40">
        <f t="shared" si="2"/>
        <v>0.57536897536794573</v>
      </c>
      <c r="L13" s="42">
        <f t="shared" si="3"/>
        <v>8</v>
      </c>
      <c r="M13" s="41">
        <f t="shared" si="4"/>
        <v>4</v>
      </c>
      <c r="N13" s="15">
        <v>262.37700000000001</v>
      </c>
      <c r="O13" s="40">
        <f t="shared" si="5"/>
        <v>0.1227938230790255</v>
      </c>
      <c r="P13" s="53">
        <f t="shared" si="6"/>
        <v>2</v>
      </c>
      <c r="Q13" s="15">
        <f>343.709+N13</f>
        <v>606.08600000000001</v>
      </c>
      <c r="R13" s="39">
        <v>179.702</v>
      </c>
      <c r="S13" s="70">
        <f t="shared" si="7"/>
        <v>8.4101486010385973E-2</v>
      </c>
      <c r="T13" s="40">
        <f>Q12/E13</f>
        <v>0.8350267324619699</v>
      </c>
      <c r="U13" s="41">
        <f t="shared" si="9"/>
        <v>4</v>
      </c>
      <c r="V13" s="15">
        <f>337.539+N13</f>
        <v>599.91599999999994</v>
      </c>
      <c r="W13" s="40">
        <f t="shared" si="10"/>
        <v>0.28076385950855698</v>
      </c>
      <c r="X13" s="41">
        <f t="shared" si="11"/>
        <v>2</v>
      </c>
      <c r="Y13" s="15">
        <v>1095.9649999999999</v>
      </c>
      <c r="Z13" s="39">
        <v>477.05500000000001</v>
      </c>
      <c r="AA13" s="40">
        <f t="shared" si="12"/>
        <v>0.22326426199310348</v>
      </c>
      <c r="AB13" s="41">
        <f t="shared" si="13"/>
        <v>3</v>
      </c>
      <c r="AC13" s="57">
        <f t="shared" si="14"/>
        <v>3.5</v>
      </c>
      <c r="AD13" s="60">
        <f t="shared" si="15"/>
        <v>4</v>
      </c>
      <c r="AE13" s="58">
        <v>3</v>
      </c>
      <c r="AF13" s="59">
        <f t="shared" si="16"/>
        <v>12</v>
      </c>
      <c r="AG13" s="60">
        <f t="shared" si="17"/>
        <v>4</v>
      </c>
      <c r="AH13" s="65">
        <v>4</v>
      </c>
      <c r="AI13" s="23">
        <v>2</v>
      </c>
      <c r="AJ13" s="48">
        <v>5</v>
      </c>
      <c r="AK13" s="23">
        <f t="shared" si="18"/>
        <v>10</v>
      </c>
      <c r="AL13" s="96">
        <f t="shared" si="19"/>
        <v>2</v>
      </c>
    </row>
    <row r="14" spans="1:38" x14ac:dyDescent="0.2">
      <c r="A14" s="34">
        <v>13</v>
      </c>
      <c r="B14" s="47" t="s">
        <v>51</v>
      </c>
      <c r="C14" s="15">
        <v>4316.6400000000003</v>
      </c>
      <c r="D14" s="39">
        <f>2488.881+507.235</f>
        <v>2996.116</v>
      </c>
      <c r="E14" s="39">
        <f>2455.663+276.902</f>
        <v>2732.5650000000001</v>
      </c>
      <c r="F14" s="39">
        <v>0</v>
      </c>
      <c r="G14" s="39">
        <v>80</v>
      </c>
      <c r="H14" s="40">
        <f t="shared" si="0"/>
        <v>0.63303055154008669</v>
      </c>
      <c r="I14" s="41">
        <f t="shared" si="1"/>
        <v>4</v>
      </c>
      <c r="J14" s="15">
        <v>32.634</v>
      </c>
      <c r="K14" s="40">
        <f t="shared" si="2"/>
        <v>1.1942625335536392E-2</v>
      </c>
      <c r="L14" s="42">
        <f t="shared" si="3"/>
        <v>2</v>
      </c>
      <c r="M14" s="41">
        <f t="shared" si="4"/>
        <v>1</v>
      </c>
      <c r="N14" s="15">
        <f>1780.153+261.677</f>
        <v>2041.83</v>
      </c>
      <c r="O14" s="40">
        <f t="shared" si="5"/>
        <v>0.74722101761531745</v>
      </c>
      <c r="P14" s="53">
        <f t="shared" si="6"/>
        <v>4</v>
      </c>
      <c r="Q14" s="15">
        <f>92.552+N14</f>
        <v>2134.3820000000001</v>
      </c>
      <c r="R14" s="39">
        <f>490.837+13.06+2.162</f>
        <v>506.05899999999997</v>
      </c>
      <c r="S14" s="70">
        <f t="shared" si="7"/>
        <v>0.18519559461531562</v>
      </c>
      <c r="T14" s="40">
        <f t="shared" ref="T14:T27" si="20">Q14/E14</f>
        <v>0.78109102619699811</v>
      </c>
      <c r="U14" s="41">
        <f t="shared" si="9"/>
        <v>4</v>
      </c>
      <c r="V14" s="15">
        <f>421.864+N14+13.06</f>
        <v>2476.7539999999999</v>
      </c>
      <c r="W14" s="40">
        <f t="shared" si="10"/>
        <v>0.90638429460964332</v>
      </c>
      <c r="X14" s="41">
        <f t="shared" si="11"/>
        <v>4</v>
      </c>
      <c r="Y14" s="15">
        <v>2341.2510000000002</v>
      </c>
      <c r="Z14" s="39">
        <v>825.94899999999996</v>
      </c>
      <c r="AA14" s="40">
        <f t="shared" si="12"/>
        <v>0.30226142836492453</v>
      </c>
      <c r="AB14" s="41">
        <f t="shared" si="13"/>
        <v>4</v>
      </c>
      <c r="AC14" s="57">
        <f t="shared" si="14"/>
        <v>3.6666666666666665</v>
      </c>
      <c r="AD14" s="60">
        <f t="shared" si="15"/>
        <v>4</v>
      </c>
      <c r="AE14" s="58">
        <v>1</v>
      </c>
      <c r="AF14" s="59">
        <f t="shared" si="16"/>
        <v>4</v>
      </c>
      <c r="AG14" s="60">
        <f t="shared" si="17"/>
        <v>2</v>
      </c>
      <c r="AH14" s="63">
        <v>2</v>
      </c>
      <c r="AI14" s="23">
        <v>2</v>
      </c>
      <c r="AJ14" s="48">
        <v>5</v>
      </c>
      <c r="AK14" s="23">
        <f t="shared" si="18"/>
        <v>10</v>
      </c>
      <c r="AL14" s="96">
        <f t="shared" si="19"/>
        <v>2</v>
      </c>
    </row>
    <row r="15" spans="1:38" x14ac:dyDescent="0.2">
      <c r="A15" s="34">
        <v>14</v>
      </c>
      <c r="B15" s="47" t="s">
        <v>52</v>
      </c>
      <c r="C15" s="15">
        <v>9427.44</v>
      </c>
      <c r="D15" s="39">
        <v>2722.3919999999998</v>
      </c>
      <c r="E15" s="39">
        <v>2667.7190000000001</v>
      </c>
      <c r="F15" s="39">
        <v>15.359</v>
      </c>
      <c r="G15" s="39">
        <v>67</v>
      </c>
      <c r="H15" s="40">
        <f t="shared" si="0"/>
        <v>0.28297385080149012</v>
      </c>
      <c r="I15" s="41">
        <f t="shared" si="1"/>
        <v>3</v>
      </c>
      <c r="J15" s="15">
        <v>641.01900000000001</v>
      </c>
      <c r="K15" s="40">
        <f t="shared" si="2"/>
        <v>0.24028730162359679</v>
      </c>
      <c r="L15" s="42">
        <f t="shared" si="3"/>
        <v>6</v>
      </c>
      <c r="M15" s="41">
        <f t="shared" si="4"/>
        <v>3</v>
      </c>
      <c r="N15" s="15">
        <v>1279.624</v>
      </c>
      <c r="O15" s="40">
        <f t="shared" si="5"/>
        <v>0.47966971034055683</v>
      </c>
      <c r="P15" s="53">
        <f t="shared" si="6"/>
        <v>4</v>
      </c>
      <c r="Q15" s="15">
        <f>118.921+N15</f>
        <v>1398.5450000000001</v>
      </c>
      <c r="R15" s="39">
        <v>528.01</v>
      </c>
      <c r="S15" s="70">
        <f t="shared" si="7"/>
        <v>0.19792564359289713</v>
      </c>
      <c r="T15" s="40">
        <f t="shared" si="20"/>
        <v>0.52424749383274627</v>
      </c>
      <c r="U15" s="41">
        <f t="shared" si="9"/>
        <v>3</v>
      </c>
      <c r="V15" s="15">
        <f>523.194+N15</f>
        <v>1802.818</v>
      </c>
      <c r="W15" s="40">
        <f t="shared" si="10"/>
        <v>0.67579006634506855</v>
      </c>
      <c r="X15" s="41">
        <f t="shared" si="11"/>
        <v>3</v>
      </c>
      <c r="Y15" s="15">
        <v>1460.7170000000001</v>
      </c>
      <c r="Z15" s="39">
        <v>500.77499999999998</v>
      </c>
      <c r="AA15" s="40">
        <f t="shared" si="12"/>
        <v>0.18771654735749904</v>
      </c>
      <c r="AB15" s="41">
        <f t="shared" si="13"/>
        <v>3</v>
      </c>
      <c r="AC15" s="57">
        <f t="shared" si="14"/>
        <v>3.6666666666666665</v>
      </c>
      <c r="AD15" s="60">
        <f t="shared" si="15"/>
        <v>4</v>
      </c>
      <c r="AE15" s="58">
        <v>2</v>
      </c>
      <c r="AF15" s="59">
        <f t="shared" si="16"/>
        <v>8</v>
      </c>
      <c r="AG15" s="60">
        <f t="shared" si="17"/>
        <v>3</v>
      </c>
      <c r="AH15" s="64">
        <v>3</v>
      </c>
      <c r="AI15" s="23">
        <v>2</v>
      </c>
      <c r="AJ15" s="48">
        <v>5</v>
      </c>
      <c r="AK15" s="23">
        <f t="shared" si="18"/>
        <v>10</v>
      </c>
      <c r="AL15" s="96">
        <f t="shared" si="19"/>
        <v>2</v>
      </c>
    </row>
    <row r="16" spans="1:38" x14ac:dyDescent="0.2">
      <c r="A16" s="34">
        <v>15</v>
      </c>
      <c r="B16" s="47" t="s">
        <v>53</v>
      </c>
      <c r="C16" s="15">
        <v>4712.68</v>
      </c>
      <c r="D16" s="39">
        <v>997.83699999999999</v>
      </c>
      <c r="E16" s="39">
        <v>937.44</v>
      </c>
      <c r="F16" s="39">
        <v>5.3680000000000003</v>
      </c>
      <c r="G16" s="39">
        <v>73</v>
      </c>
      <c r="H16" s="40">
        <f t="shared" si="0"/>
        <v>0.19891866199275146</v>
      </c>
      <c r="I16" s="41">
        <f t="shared" si="1"/>
        <v>2</v>
      </c>
      <c r="J16" s="15">
        <v>311.97500000000002</v>
      </c>
      <c r="K16" s="40">
        <f t="shared" si="2"/>
        <v>0.33279463218979349</v>
      </c>
      <c r="L16" s="42">
        <f t="shared" si="3"/>
        <v>8</v>
      </c>
      <c r="M16" s="41">
        <f t="shared" si="4"/>
        <v>4</v>
      </c>
      <c r="N16" s="15">
        <v>253.91300000000001</v>
      </c>
      <c r="O16" s="40">
        <f t="shared" si="5"/>
        <v>0.2708578682369005</v>
      </c>
      <c r="P16" s="53">
        <f t="shared" si="6"/>
        <v>3</v>
      </c>
      <c r="Q16" s="15">
        <f>118.656+N16</f>
        <v>372.56900000000002</v>
      </c>
      <c r="R16" s="39">
        <v>152.24700000000001</v>
      </c>
      <c r="S16" s="70">
        <f t="shared" si="7"/>
        <v>0.16240719406041987</v>
      </c>
      <c r="T16" s="40">
        <f t="shared" si="20"/>
        <v>0.39743236900494966</v>
      </c>
      <c r="U16" s="41">
        <f t="shared" si="9"/>
        <v>2</v>
      </c>
      <c r="V16" s="15">
        <f>194.904+R16</f>
        <v>347.15100000000001</v>
      </c>
      <c r="W16" s="40">
        <f t="shared" si="10"/>
        <v>0.37031810035842294</v>
      </c>
      <c r="X16" s="41">
        <f t="shared" si="11"/>
        <v>2</v>
      </c>
      <c r="Y16" s="15">
        <v>491.40499999999997</v>
      </c>
      <c r="Z16" s="39">
        <v>53.585000000000001</v>
      </c>
      <c r="AA16" s="40">
        <f t="shared" si="12"/>
        <v>5.7160991636798088E-2</v>
      </c>
      <c r="AB16" s="41">
        <f t="shared" si="13"/>
        <v>2</v>
      </c>
      <c r="AC16" s="57">
        <f t="shared" si="14"/>
        <v>3.1666666666666665</v>
      </c>
      <c r="AD16" s="60">
        <f t="shared" si="15"/>
        <v>3</v>
      </c>
      <c r="AE16" s="58">
        <v>2</v>
      </c>
      <c r="AF16" s="59">
        <f t="shared" si="16"/>
        <v>6</v>
      </c>
      <c r="AG16" s="60">
        <f t="shared" si="17"/>
        <v>3</v>
      </c>
      <c r="AH16" s="64">
        <v>3</v>
      </c>
      <c r="AI16" s="23">
        <v>2</v>
      </c>
      <c r="AJ16" s="48">
        <v>5</v>
      </c>
      <c r="AK16" s="23">
        <f t="shared" si="18"/>
        <v>10</v>
      </c>
      <c r="AL16" s="96">
        <f t="shared" si="19"/>
        <v>2</v>
      </c>
    </row>
    <row r="17" spans="1:38" x14ac:dyDescent="0.2">
      <c r="A17" s="34">
        <v>16</v>
      </c>
      <c r="B17" s="47" t="s">
        <v>54</v>
      </c>
      <c r="C17" s="15">
        <v>18653.759999999998</v>
      </c>
      <c r="D17" s="39">
        <v>10650.651</v>
      </c>
      <c r="E17" s="39">
        <v>10344.918</v>
      </c>
      <c r="F17" s="39">
        <v>0</v>
      </c>
      <c r="G17" s="39">
        <v>56</v>
      </c>
      <c r="H17" s="40">
        <f t="shared" si="0"/>
        <v>0.55457548504966292</v>
      </c>
      <c r="I17" s="41">
        <f t="shared" si="1"/>
        <v>4</v>
      </c>
      <c r="J17" s="15">
        <v>201.32300000000001</v>
      </c>
      <c r="K17" s="40">
        <f t="shared" si="2"/>
        <v>1.9461053243727985E-2</v>
      </c>
      <c r="L17" s="42">
        <f t="shared" si="3"/>
        <v>2</v>
      </c>
      <c r="M17" s="41">
        <f t="shared" si="4"/>
        <v>1</v>
      </c>
      <c r="N17" s="15">
        <v>8396.1200000000008</v>
      </c>
      <c r="O17" s="40">
        <f t="shared" si="5"/>
        <v>0.81161783979341362</v>
      </c>
      <c r="P17" s="53">
        <f t="shared" si="6"/>
        <v>4</v>
      </c>
      <c r="Q17" s="15">
        <f>194.057+N17</f>
        <v>8590.1770000000015</v>
      </c>
      <c r="R17" s="39">
        <v>831.21100000000001</v>
      </c>
      <c r="S17" s="70">
        <f t="shared" si="7"/>
        <v>8.0349694410337527E-2</v>
      </c>
      <c r="T17" s="40">
        <f t="shared" si="20"/>
        <v>0.83037651917588928</v>
      </c>
      <c r="U17" s="41">
        <f t="shared" si="9"/>
        <v>4</v>
      </c>
      <c r="V17" s="15">
        <f>349.545+N17</f>
        <v>8745.6650000000009</v>
      </c>
      <c r="W17" s="40">
        <f t="shared" si="10"/>
        <v>0.84540689447707573</v>
      </c>
      <c r="X17" s="41">
        <f t="shared" si="11"/>
        <v>4</v>
      </c>
      <c r="Y17" s="15">
        <v>9652.125</v>
      </c>
      <c r="Z17" s="39">
        <v>1955.4159999999999</v>
      </c>
      <c r="AA17" s="40">
        <f t="shared" si="12"/>
        <v>0.18902189461530772</v>
      </c>
      <c r="AB17" s="41">
        <f t="shared" si="13"/>
        <v>3</v>
      </c>
      <c r="AC17" s="57">
        <f t="shared" si="14"/>
        <v>3.5</v>
      </c>
      <c r="AD17" s="60">
        <f t="shared" si="15"/>
        <v>4</v>
      </c>
      <c r="AE17" s="58">
        <v>1</v>
      </c>
      <c r="AF17" s="59">
        <f t="shared" si="16"/>
        <v>4</v>
      </c>
      <c r="AG17" s="60">
        <f t="shared" si="17"/>
        <v>2</v>
      </c>
      <c r="AH17" s="63">
        <v>2</v>
      </c>
      <c r="AI17" s="23">
        <v>2</v>
      </c>
      <c r="AJ17" s="48">
        <v>5</v>
      </c>
      <c r="AK17" s="23">
        <f t="shared" si="18"/>
        <v>10</v>
      </c>
      <c r="AL17" s="96">
        <f t="shared" si="19"/>
        <v>2</v>
      </c>
    </row>
    <row r="18" spans="1:38" x14ac:dyDescent="0.2">
      <c r="A18" s="34">
        <v>17</v>
      </c>
      <c r="B18" s="47" t="s">
        <v>55</v>
      </c>
      <c r="C18" s="15">
        <v>10455.64</v>
      </c>
      <c r="D18" s="39">
        <v>2571.8090000000002</v>
      </c>
      <c r="E18" s="39">
        <v>2501.6559999999999</v>
      </c>
      <c r="F18" s="39">
        <v>5.4290000000000003</v>
      </c>
      <c r="G18" s="39">
        <v>71</v>
      </c>
      <c r="H18" s="40">
        <f t="shared" si="0"/>
        <v>0.23926378490460651</v>
      </c>
      <c r="I18" s="41">
        <f t="shared" si="1"/>
        <v>3</v>
      </c>
      <c r="J18" s="15">
        <v>444.25</v>
      </c>
      <c r="K18" s="40">
        <f t="shared" si="2"/>
        <v>0.17758236943848396</v>
      </c>
      <c r="L18" s="42">
        <f t="shared" si="3"/>
        <v>6</v>
      </c>
      <c r="M18" s="41">
        <f t="shared" si="4"/>
        <v>3</v>
      </c>
      <c r="N18" s="15">
        <v>1181.454</v>
      </c>
      <c r="O18" s="40">
        <f t="shared" si="5"/>
        <v>0.47226876916730359</v>
      </c>
      <c r="P18" s="53">
        <f t="shared" si="6"/>
        <v>4</v>
      </c>
      <c r="Q18" s="15">
        <f>306.531+N18</f>
        <v>1487.9849999999999</v>
      </c>
      <c r="R18" s="39">
        <v>461.85199999999998</v>
      </c>
      <c r="S18" s="70">
        <f t="shared" si="7"/>
        <v>0.18461850869983723</v>
      </c>
      <c r="T18" s="40">
        <f t="shared" si="20"/>
        <v>0.59480000447703441</v>
      </c>
      <c r="U18" s="41">
        <f t="shared" si="9"/>
        <v>3</v>
      </c>
      <c r="V18" s="15">
        <f>N18+527.451</f>
        <v>1708.905</v>
      </c>
      <c r="W18" s="40">
        <f t="shared" si="10"/>
        <v>0.68310950826172745</v>
      </c>
      <c r="X18" s="41">
        <f t="shared" si="11"/>
        <v>3</v>
      </c>
      <c r="Y18" s="15">
        <v>1725.251</v>
      </c>
      <c r="Z18" s="39">
        <v>27.994</v>
      </c>
      <c r="AA18" s="40">
        <f t="shared" si="12"/>
        <v>1.1190187619720697E-2</v>
      </c>
      <c r="AB18" s="41">
        <f t="shared" si="13"/>
        <v>1</v>
      </c>
      <c r="AC18" s="57">
        <f t="shared" si="14"/>
        <v>3.3333333333333335</v>
      </c>
      <c r="AD18" s="60">
        <f t="shared" si="15"/>
        <v>3</v>
      </c>
      <c r="AE18" s="58">
        <v>2</v>
      </c>
      <c r="AF18" s="59">
        <f t="shared" si="16"/>
        <v>6</v>
      </c>
      <c r="AG18" s="60">
        <f t="shared" si="17"/>
        <v>3</v>
      </c>
      <c r="AH18" s="64">
        <v>3</v>
      </c>
      <c r="AI18" s="23">
        <v>2</v>
      </c>
      <c r="AJ18" s="48">
        <v>5</v>
      </c>
      <c r="AK18" s="23">
        <f t="shared" si="18"/>
        <v>10</v>
      </c>
      <c r="AL18" s="96">
        <f t="shared" si="19"/>
        <v>2</v>
      </c>
    </row>
    <row r="19" spans="1:38" x14ac:dyDescent="0.2">
      <c r="A19" s="34">
        <v>18</v>
      </c>
      <c r="B19" s="47" t="s">
        <v>56</v>
      </c>
      <c r="C19" s="15">
        <v>6666.25</v>
      </c>
      <c r="D19" s="39">
        <v>1637.2809999999999</v>
      </c>
      <c r="E19" s="39">
        <v>1613.3489999999999</v>
      </c>
      <c r="F19" s="39">
        <v>0</v>
      </c>
      <c r="G19" s="39">
        <v>67</v>
      </c>
      <c r="H19" s="40">
        <f t="shared" si="0"/>
        <v>0.24201747609225577</v>
      </c>
      <c r="I19" s="41">
        <f t="shared" si="1"/>
        <v>3</v>
      </c>
      <c r="J19" s="15">
        <v>214.142</v>
      </c>
      <c r="K19" s="40">
        <f t="shared" si="2"/>
        <v>0.13273135570790945</v>
      </c>
      <c r="L19" s="42">
        <f t="shared" si="3"/>
        <v>4</v>
      </c>
      <c r="M19" s="41">
        <f t="shared" si="4"/>
        <v>2</v>
      </c>
      <c r="N19" s="15">
        <v>709.11699999999996</v>
      </c>
      <c r="O19" s="40">
        <f t="shared" si="5"/>
        <v>0.43953106240497253</v>
      </c>
      <c r="P19" s="53">
        <f t="shared" si="6"/>
        <v>4</v>
      </c>
      <c r="Q19" s="15">
        <f>159.928+N19</f>
        <v>869.04499999999996</v>
      </c>
      <c r="R19" s="39">
        <v>367.71899999999999</v>
      </c>
      <c r="S19" s="70">
        <f t="shared" si="7"/>
        <v>0.22792278670021179</v>
      </c>
      <c r="T19" s="40">
        <f t="shared" si="20"/>
        <v>0.53865902541855482</v>
      </c>
      <c r="U19" s="41">
        <f t="shared" si="9"/>
        <v>3</v>
      </c>
      <c r="V19" s="15">
        <f>382.857+N19</f>
        <v>1091.9739999999999</v>
      </c>
      <c r="W19" s="40">
        <f t="shared" si="10"/>
        <v>0.67683681584083788</v>
      </c>
      <c r="X19" s="41">
        <f t="shared" si="11"/>
        <v>3</v>
      </c>
      <c r="Y19" s="15">
        <v>1032.5530000000001</v>
      </c>
      <c r="Z19" s="39">
        <v>125.41800000000001</v>
      </c>
      <c r="AA19" s="40">
        <f t="shared" si="12"/>
        <v>7.7737674861421802E-2</v>
      </c>
      <c r="AB19" s="41">
        <f t="shared" si="13"/>
        <v>2</v>
      </c>
      <c r="AC19" s="57">
        <f t="shared" si="14"/>
        <v>3.1666666666666665</v>
      </c>
      <c r="AD19" s="60">
        <f t="shared" si="15"/>
        <v>3</v>
      </c>
      <c r="AE19" s="58">
        <v>2</v>
      </c>
      <c r="AF19" s="59">
        <f t="shared" si="16"/>
        <v>6</v>
      </c>
      <c r="AG19" s="60">
        <f t="shared" si="17"/>
        <v>3</v>
      </c>
      <c r="AH19" s="64">
        <v>3</v>
      </c>
      <c r="AI19" s="23">
        <v>2</v>
      </c>
      <c r="AJ19" s="48">
        <v>5</v>
      </c>
      <c r="AK19" s="23">
        <f t="shared" si="18"/>
        <v>10</v>
      </c>
      <c r="AL19" s="96">
        <f t="shared" si="19"/>
        <v>2</v>
      </c>
    </row>
    <row r="20" spans="1:38" x14ac:dyDescent="0.2">
      <c r="A20" s="34">
        <v>19</v>
      </c>
      <c r="B20" s="47" t="s">
        <v>57</v>
      </c>
      <c r="C20" s="15">
        <v>12234.14</v>
      </c>
      <c r="D20" s="39">
        <v>1151.0070000000001</v>
      </c>
      <c r="E20" s="39">
        <v>1054.9580000000001</v>
      </c>
      <c r="F20" s="39">
        <v>21.718</v>
      </c>
      <c r="G20" s="50">
        <v>70</v>
      </c>
      <c r="H20" s="40">
        <f t="shared" si="0"/>
        <v>8.6230662719243054E-2</v>
      </c>
      <c r="I20" s="41">
        <f t="shared" si="1"/>
        <v>1</v>
      </c>
      <c r="J20" s="15">
        <v>461.91899999999998</v>
      </c>
      <c r="K20" s="40">
        <f t="shared" si="2"/>
        <v>0.43785534590002628</v>
      </c>
      <c r="L20" s="42">
        <f t="shared" si="3"/>
        <v>8</v>
      </c>
      <c r="M20" s="41">
        <f t="shared" si="4"/>
        <v>4</v>
      </c>
      <c r="N20" s="15">
        <v>18.145</v>
      </c>
      <c r="O20" s="40">
        <f t="shared" si="5"/>
        <v>1.7199736861562259E-2</v>
      </c>
      <c r="P20" s="53">
        <f t="shared" si="6"/>
        <v>1</v>
      </c>
      <c r="Q20" s="15">
        <f>315.159+N20</f>
        <v>333.30399999999997</v>
      </c>
      <c r="R20" s="39">
        <v>114.255</v>
      </c>
      <c r="S20" s="70">
        <f t="shared" si="7"/>
        <v>0.10830288978328993</v>
      </c>
      <c r="T20" s="40">
        <f t="shared" si="20"/>
        <v>0.31594053981295933</v>
      </c>
      <c r="U20" s="41">
        <f t="shared" si="9"/>
        <v>2</v>
      </c>
      <c r="V20" s="15">
        <f>305.775+N20</f>
        <v>323.91999999999996</v>
      </c>
      <c r="W20" s="40">
        <f t="shared" si="10"/>
        <v>0.30704539896375016</v>
      </c>
      <c r="X20" s="41">
        <f t="shared" si="11"/>
        <v>2</v>
      </c>
      <c r="Y20" s="15">
        <v>490.83600000000001</v>
      </c>
      <c r="Z20" s="39">
        <v>175.952</v>
      </c>
      <c r="AA20" s="40">
        <f t="shared" si="12"/>
        <v>0.16678578673274194</v>
      </c>
      <c r="AB20" s="41">
        <f t="shared" si="13"/>
        <v>3</v>
      </c>
      <c r="AC20" s="57">
        <f t="shared" si="14"/>
        <v>2.8333333333333335</v>
      </c>
      <c r="AD20" s="60">
        <f t="shared" si="15"/>
        <v>3</v>
      </c>
      <c r="AE20" s="58">
        <v>3</v>
      </c>
      <c r="AF20" s="59">
        <f t="shared" si="16"/>
        <v>9</v>
      </c>
      <c r="AG20" s="60">
        <f t="shared" si="17"/>
        <v>3</v>
      </c>
      <c r="AH20" s="64">
        <v>3</v>
      </c>
      <c r="AI20" s="23">
        <v>2</v>
      </c>
      <c r="AJ20" s="48">
        <v>5</v>
      </c>
      <c r="AK20" s="23">
        <f t="shared" si="18"/>
        <v>10</v>
      </c>
      <c r="AL20" s="96">
        <f t="shared" si="19"/>
        <v>2</v>
      </c>
    </row>
    <row r="21" spans="1:38" x14ac:dyDescent="0.2">
      <c r="A21" s="34">
        <v>20</v>
      </c>
      <c r="B21" s="47" t="s">
        <v>58</v>
      </c>
      <c r="C21" s="15">
        <v>5787.57</v>
      </c>
      <c r="D21" s="39">
        <v>2341.5990000000002</v>
      </c>
      <c r="E21" s="39">
        <v>2308.527</v>
      </c>
      <c r="F21" s="39">
        <v>12.855</v>
      </c>
      <c r="G21" s="39">
        <v>72</v>
      </c>
      <c r="H21" s="40">
        <f t="shared" si="0"/>
        <v>0.39887673064861423</v>
      </c>
      <c r="I21" s="41">
        <f t="shared" si="1"/>
        <v>4</v>
      </c>
      <c r="J21" s="15">
        <v>257.68400000000003</v>
      </c>
      <c r="K21" s="40">
        <f t="shared" si="2"/>
        <v>0.11162269273870308</v>
      </c>
      <c r="L21" s="42">
        <f t="shared" si="3"/>
        <v>4</v>
      </c>
      <c r="M21" s="41">
        <f t="shared" si="4"/>
        <v>2</v>
      </c>
      <c r="N21" s="15">
        <v>1525.846</v>
      </c>
      <c r="O21" s="40">
        <f t="shared" si="5"/>
        <v>0.66096086378890084</v>
      </c>
      <c r="P21" s="53">
        <f t="shared" si="6"/>
        <v>4</v>
      </c>
      <c r="Q21" s="15">
        <f>16.013+N21</f>
        <v>1541.8589999999999</v>
      </c>
      <c r="R21" s="39">
        <v>398.709</v>
      </c>
      <c r="S21" s="70">
        <f t="shared" si="7"/>
        <v>0.17271143027566929</v>
      </c>
      <c r="T21" s="40">
        <f t="shared" si="20"/>
        <v>0.66789732153879933</v>
      </c>
      <c r="U21" s="41">
        <f t="shared" si="9"/>
        <v>3</v>
      </c>
      <c r="V21" s="15">
        <f>378.926+N21</f>
        <v>1904.7719999999999</v>
      </c>
      <c r="W21" s="40">
        <f t="shared" si="10"/>
        <v>0.82510276033158803</v>
      </c>
      <c r="X21" s="41">
        <f t="shared" si="11"/>
        <v>4</v>
      </c>
      <c r="Y21" s="15">
        <v>1890.0609999999999</v>
      </c>
      <c r="Z21" s="39">
        <v>507.31599999999997</v>
      </c>
      <c r="AA21" s="40">
        <f t="shared" si="12"/>
        <v>0.21975744706472999</v>
      </c>
      <c r="AB21" s="41">
        <f t="shared" si="13"/>
        <v>3</v>
      </c>
      <c r="AC21" s="57">
        <f t="shared" si="14"/>
        <v>3.6666666666666665</v>
      </c>
      <c r="AD21" s="60">
        <f t="shared" si="15"/>
        <v>4</v>
      </c>
      <c r="AE21" s="58">
        <v>2</v>
      </c>
      <c r="AF21" s="59">
        <f t="shared" si="16"/>
        <v>8</v>
      </c>
      <c r="AG21" s="60">
        <f t="shared" si="17"/>
        <v>3</v>
      </c>
      <c r="AH21" s="64">
        <v>3</v>
      </c>
      <c r="AI21" s="23">
        <v>2</v>
      </c>
      <c r="AJ21" s="48">
        <v>5</v>
      </c>
      <c r="AK21" s="23">
        <f t="shared" si="18"/>
        <v>10</v>
      </c>
      <c r="AL21" s="96">
        <f t="shared" si="19"/>
        <v>2</v>
      </c>
    </row>
    <row r="22" spans="1:38" x14ac:dyDescent="0.2">
      <c r="A22" s="34">
        <v>21</v>
      </c>
      <c r="B22" s="47" t="s">
        <v>59</v>
      </c>
      <c r="C22" s="15">
        <v>11054.75</v>
      </c>
      <c r="D22" s="39">
        <v>4153.817</v>
      </c>
      <c r="E22" s="39">
        <v>4060.7379999999998</v>
      </c>
      <c r="F22" s="39">
        <v>0</v>
      </c>
      <c r="G22" s="39">
        <v>72</v>
      </c>
      <c r="H22" s="40">
        <f t="shared" si="0"/>
        <v>0.36732969990275671</v>
      </c>
      <c r="I22" s="41">
        <f t="shared" si="1"/>
        <v>4</v>
      </c>
      <c r="J22" s="15">
        <v>228.774</v>
      </c>
      <c r="K22" s="40">
        <f t="shared" si="2"/>
        <v>5.6338035105933951E-2</v>
      </c>
      <c r="L22" s="42">
        <f t="shared" si="3"/>
        <v>4</v>
      </c>
      <c r="M22" s="41">
        <f t="shared" si="4"/>
        <v>2</v>
      </c>
      <c r="N22" s="15">
        <v>3007.3589999999999</v>
      </c>
      <c r="O22" s="40">
        <f t="shared" si="5"/>
        <v>0.74059419740943644</v>
      </c>
      <c r="P22" s="53">
        <f t="shared" si="6"/>
        <v>4</v>
      </c>
      <c r="Q22" s="15">
        <f>105.27+N22</f>
        <v>3112.6289999999999</v>
      </c>
      <c r="R22" s="39">
        <v>536.50699999999995</v>
      </c>
      <c r="S22" s="70">
        <f t="shared" si="7"/>
        <v>0.13212056527655811</v>
      </c>
      <c r="T22" s="40">
        <f t="shared" si="20"/>
        <v>0.76651805657001271</v>
      </c>
      <c r="U22" s="41">
        <f t="shared" si="9"/>
        <v>4</v>
      </c>
      <c r="V22" s="15">
        <f>N22+214.878</f>
        <v>3222.2370000000001</v>
      </c>
      <c r="W22" s="40">
        <f t="shared" si="10"/>
        <v>0.7935101944523385</v>
      </c>
      <c r="X22" s="41">
        <f t="shared" si="11"/>
        <v>3</v>
      </c>
      <c r="Y22" s="15">
        <v>3660.2280000000001</v>
      </c>
      <c r="Z22" s="39">
        <v>659.01300000000003</v>
      </c>
      <c r="AA22" s="40">
        <f t="shared" si="12"/>
        <v>0.16228897308814311</v>
      </c>
      <c r="AB22" s="41">
        <f t="shared" si="13"/>
        <v>3</v>
      </c>
      <c r="AC22" s="57">
        <f t="shared" si="14"/>
        <v>3.6666666666666665</v>
      </c>
      <c r="AD22" s="60">
        <f t="shared" si="15"/>
        <v>4</v>
      </c>
      <c r="AE22" s="58">
        <v>2</v>
      </c>
      <c r="AF22" s="59">
        <f t="shared" si="16"/>
        <v>8</v>
      </c>
      <c r="AG22" s="60">
        <f t="shared" si="17"/>
        <v>3</v>
      </c>
      <c r="AH22" s="64">
        <v>3</v>
      </c>
      <c r="AI22" s="23">
        <v>2</v>
      </c>
      <c r="AJ22" s="48">
        <v>5</v>
      </c>
      <c r="AK22" s="23">
        <f t="shared" si="18"/>
        <v>10</v>
      </c>
      <c r="AL22" s="96">
        <f t="shared" si="19"/>
        <v>2</v>
      </c>
    </row>
    <row r="23" spans="1:38" x14ac:dyDescent="0.2">
      <c r="A23" s="34">
        <v>22</v>
      </c>
      <c r="B23" s="47" t="s">
        <v>60</v>
      </c>
      <c r="C23" s="15">
        <v>10929.79</v>
      </c>
      <c r="D23" s="39">
        <f>1984.319+357.178+1342.102</f>
        <v>3683.5990000000002</v>
      </c>
      <c r="E23" s="39">
        <f>1935.564+357.178+1217.851</f>
        <v>3510.5930000000003</v>
      </c>
      <c r="F23" s="39">
        <v>432.149</v>
      </c>
      <c r="G23" s="39">
        <v>71</v>
      </c>
      <c r="H23" s="40">
        <f t="shared" si="0"/>
        <v>0.32119491774315884</v>
      </c>
      <c r="I23" s="41">
        <f t="shared" si="1"/>
        <v>4</v>
      </c>
      <c r="J23" s="15">
        <f>220.846+0.002</f>
        <v>220.84800000000001</v>
      </c>
      <c r="K23" s="40">
        <f t="shared" si="2"/>
        <v>6.2909029898937305E-2</v>
      </c>
      <c r="L23" s="42">
        <f t="shared" si="3"/>
        <v>4</v>
      </c>
      <c r="M23" s="41">
        <f t="shared" si="4"/>
        <v>2</v>
      </c>
      <c r="N23" s="15">
        <f>1130.688+1034.969</f>
        <v>2165.6570000000002</v>
      </c>
      <c r="O23" s="40">
        <f t="shared" si="5"/>
        <v>0.61689207492865161</v>
      </c>
      <c r="P23" s="53">
        <f t="shared" si="6"/>
        <v>4</v>
      </c>
      <c r="Q23" s="15">
        <f>51.299+N23</f>
        <v>2216.9560000000001</v>
      </c>
      <c r="R23" s="39">
        <f>426.538+102.523+23.1</f>
        <v>552.16100000000006</v>
      </c>
      <c r="S23" s="70">
        <f t="shared" si="7"/>
        <v>0.15728425368591575</v>
      </c>
      <c r="T23" s="40">
        <f t="shared" si="20"/>
        <v>0.63150470590011432</v>
      </c>
      <c r="U23" s="41">
        <f t="shared" si="9"/>
        <v>3</v>
      </c>
      <c r="V23" s="15">
        <f>231.043+N23+105.523</f>
        <v>2502.2230000000004</v>
      </c>
      <c r="W23" s="40">
        <f t="shared" si="10"/>
        <v>0.71276362711370989</v>
      </c>
      <c r="X23" s="41">
        <f t="shared" si="11"/>
        <v>3</v>
      </c>
      <c r="Y23" s="15">
        <v>1436.336</v>
      </c>
      <c r="Z23" s="39">
        <v>289.625</v>
      </c>
      <c r="AA23" s="40">
        <f t="shared" si="12"/>
        <v>8.2500306928202718E-2</v>
      </c>
      <c r="AB23" s="41">
        <f t="shared" si="13"/>
        <v>2</v>
      </c>
      <c r="AC23" s="57">
        <f t="shared" si="14"/>
        <v>3.3333333333333335</v>
      </c>
      <c r="AD23" s="60">
        <f t="shared" si="15"/>
        <v>3</v>
      </c>
      <c r="AE23" s="58">
        <v>2</v>
      </c>
      <c r="AF23" s="59">
        <f t="shared" si="16"/>
        <v>6</v>
      </c>
      <c r="AG23" s="60">
        <f t="shared" si="17"/>
        <v>3</v>
      </c>
      <c r="AH23" s="64">
        <v>3</v>
      </c>
      <c r="AI23" s="23">
        <v>2</v>
      </c>
      <c r="AJ23" s="48">
        <v>5</v>
      </c>
      <c r="AK23" s="23">
        <f t="shared" si="18"/>
        <v>10</v>
      </c>
      <c r="AL23" s="96">
        <f t="shared" si="19"/>
        <v>2</v>
      </c>
    </row>
    <row r="24" spans="1:38" x14ac:dyDescent="0.2">
      <c r="A24" s="34">
        <v>23</v>
      </c>
      <c r="B24" s="47" t="s">
        <v>61</v>
      </c>
      <c r="C24" s="15">
        <v>8797.7000000000007</v>
      </c>
      <c r="D24" s="39">
        <v>3556.8110000000001</v>
      </c>
      <c r="E24" s="39">
        <v>3448.5309999999999</v>
      </c>
      <c r="F24" s="39">
        <v>6.1180000000000003</v>
      </c>
      <c r="G24" s="39">
        <v>72</v>
      </c>
      <c r="H24" s="40">
        <f t="shared" si="0"/>
        <v>0.39198097229957823</v>
      </c>
      <c r="I24" s="41">
        <f t="shared" si="1"/>
        <v>4</v>
      </c>
      <c r="J24" s="15">
        <v>469.95800000000003</v>
      </c>
      <c r="K24" s="40">
        <f t="shared" si="2"/>
        <v>0.13627773681025343</v>
      </c>
      <c r="L24" s="42">
        <f t="shared" si="3"/>
        <v>4</v>
      </c>
      <c r="M24" s="41">
        <f t="shared" si="4"/>
        <v>2</v>
      </c>
      <c r="N24" s="15">
        <v>2232.8560000000002</v>
      </c>
      <c r="O24" s="40">
        <f t="shared" si="5"/>
        <v>0.6474803329301666</v>
      </c>
      <c r="P24" s="53">
        <f t="shared" si="6"/>
        <v>4</v>
      </c>
      <c r="Q24" s="15">
        <f>80.369+N24</f>
        <v>2313.2250000000004</v>
      </c>
      <c r="R24" s="39">
        <v>500.99200000000002</v>
      </c>
      <c r="S24" s="70">
        <f t="shared" si="7"/>
        <v>0.14527693095987829</v>
      </c>
      <c r="T24" s="40">
        <f t="shared" si="20"/>
        <v>0.67078561857208197</v>
      </c>
      <c r="U24" s="41">
        <f t="shared" si="9"/>
        <v>3</v>
      </c>
      <c r="V24" s="15">
        <f>370.379+N24</f>
        <v>2603.2350000000001</v>
      </c>
      <c r="W24" s="40">
        <f t="shared" si="10"/>
        <v>0.7548822962588998</v>
      </c>
      <c r="X24" s="41">
        <f t="shared" si="11"/>
        <v>3</v>
      </c>
      <c r="Y24" s="15">
        <v>2788.0230000000001</v>
      </c>
      <c r="Z24" s="39">
        <v>194.31899999999999</v>
      </c>
      <c r="AA24" s="40">
        <f t="shared" si="12"/>
        <v>5.6348340786265223E-2</v>
      </c>
      <c r="AB24" s="41">
        <f t="shared" si="13"/>
        <v>2</v>
      </c>
      <c r="AC24" s="57">
        <f t="shared" si="14"/>
        <v>3.3333333333333335</v>
      </c>
      <c r="AD24" s="60">
        <f t="shared" si="15"/>
        <v>3</v>
      </c>
      <c r="AE24" s="58">
        <v>2</v>
      </c>
      <c r="AF24" s="59">
        <f t="shared" si="16"/>
        <v>6</v>
      </c>
      <c r="AG24" s="60">
        <f t="shared" si="17"/>
        <v>3</v>
      </c>
      <c r="AH24" s="64">
        <v>3</v>
      </c>
      <c r="AI24" s="23">
        <v>2</v>
      </c>
      <c r="AJ24" s="48">
        <v>5</v>
      </c>
      <c r="AK24" s="23">
        <f t="shared" si="18"/>
        <v>10</v>
      </c>
      <c r="AL24" s="96">
        <f t="shared" si="19"/>
        <v>2</v>
      </c>
    </row>
    <row r="25" spans="1:38" x14ac:dyDescent="0.2">
      <c r="A25" s="34">
        <v>24</v>
      </c>
      <c r="B25" s="47" t="s">
        <v>62</v>
      </c>
      <c r="C25" s="15">
        <v>8600.08</v>
      </c>
      <c r="D25" s="39">
        <v>2923.17</v>
      </c>
      <c r="E25" s="39">
        <v>2876.317</v>
      </c>
      <c r="F25" s="39">
        <v>0</v>
      </c>
      <c r="G25" s="39">
        <v>70</v>
      </c>
      <c r="H25" s="40">
        <f t="shared" si="0"/>
        <v>0.33445235393159134</v>
      </c>
      <c r="I25" s="41">
        <f t="shared" si="1"/>
        <v>4</v>
      </c>
      <c r="J25" s="15">
        <v>914.57399999999996</v>
      </c>
      <c r="K25" s="40">
        <f t="shared" si="2"/>
        <v>0.31796703909895885</v>
      </c>
      <c r="L25" s="42">
        <f t="shared" si="3"/>
        <v>8</v>
      </c>
      <c r="M25" s="41">
        <f t="shared" si="4"/>
        <v>4</v>
      </c>
      <c r="N25" s="15">
        <v>950.33</v>
      </c>
      <c r="O25" s="40">
        <f t="shared" si="5"/>
        <v>0.33039821410505171</v>
      </c>
      <c r="P25" s="53">
        <f t="shared" si="6"/>
        <v>3</v>
      </c>
      <c r="Q25" s="15">
        <f>390.792+N25</f>
        <v>1341.1220000000001</v>
      </c>
      <c r="R25" s="39">
        <v>493.38099999999997</v>
      </c>
      <c r="S25" s="70">
        <f t="shared" si="7"/>
        <v>0.17153220594252996</v>
      </c>
      <c r="T25" s="40">
        <f t="shared" si="20"/>
        <v>0.46626362810496896</v>
      </c>
      <c r="U25" s="41">
        <f t="shared" si="9"/>
        <v>2</v>
      </c>
      <c r="V25" s="15">
        <f>758.553+N25</f>
        <v>1708.883</v>
      </c>
      <c r="W25" s="40">
        <f t="shared" si="10"/>
        <v>0.59412192745097292</v>
      </c>
      <c r="X25" s="41">
        <f t="shared" si="11"/>
        <v>3</v>
      </c>
      <c r="Y25" s="15">
        <v>1816.8920000000001</v>
      </c>
      <c r="Z25" s="39">
        <v>769.34</v>
      </c>
      <c r="AA25" s="40">
        <f t="shared" si="12"/>
        <v>0.26747399539063327</v>
      </c>
      <c r="AB25" s="41">
        <f t="shared" si="13"/>
        <v>4</v>
      </c>
      <c r="AC25" s="57">
        <f t="shared" si="14"/>
        <v>4</v>
      </c>
      <c r="AD25" s="60">
        <f t="shared" si="15"/>
        <v>4</v>
      </c>
      <c r="AE25" s="58">
        <v>2</v>
      </c>
      <c r="AF25" s="59">
        <f t="shared" si="16"/>
        <v>8</v>
      </c>
      <c r="AG25" s="60">
        <f t="shared" si="17"/>
        <v>3</v>
      </c>
      <c r="AH25" s="64">
        <v>3</v>
      </c>
      <c r="AI25" s="23">
        <v>2</v>
      </c>
      <c r="AJ25" s="48">
        <v>5</v>
      </c>
      <c r="AK25" s="23">
        <f t="shared" si="18"/>
        <v>10</v>
      </c>
      <c r="AL25" s="96">
        <f t="shared" si="19"/>
        <v>2</v>
      </c>
    </row>
    <row r="26" spans="1:38" x14ac:dyDescent="0.2">
      <c r="A26" s="34">
        <v>25</v>
      </c>
      <c r="B26" s="47" t="s">
        <v>63</v>
      </c>
      <c r="C26" s="15">
        <v>3738.95</v>
      </c>
      <c r="D26" s="39">
        <f>2354.048+134.417</f>
        <v>2488.4649999999997</v>
      </c>
      <c r="E26" s="39">
        <f>2274.783+132.795</f>
        <v>2407.578</v>
      </c>
      <c r="F26" s="39">
        <v>18.253</v>
      </c>
      <c r="G26" s="39">
        <v>65</v>
      </c>
      <c r="H26" s="40">
        <f t="shared" si="0"/>
        <v>0.64391821233233937</v>
      </c>
      <c r="I26" s="41">
        <f t="shared" si="1"/>
        <v>4</v>
      </c>
      <c r="J26" s="15">
        <v>104.563</v>
      </c>
      <c r="K26" s="40">
        <f t="shared" si="2"/>
        <v>4.3430783966293095E-2</v>
      </c>
      <c r="L26" s="42">
        <f t="shared" si="3"/>
        <v>2</v>
      </c>
      <c r="M26" s="41">
        <f t="shared" si="4"/>
        <v>1</v>
      </c>
      <c r="N26" s="15">
        <f>1642+132.495</f>
        <v>1774.4949999999999</v>
      </c>
      <c r="O26" s="40">
        <f t="shared" si="5"/>
        <v>0.73704569488506699</v>
      </c>
      <c r="P26" s="53">
        <f t="shared" si="6"/>
        <v>4</v>
      </c>
      <c r="Q26" s="15">
        <f>14.44+N26</f>
        <v>1788.9349999999999</v>
      </c>
      <c r="R26" s="39">
        <v>416.15699999999998</v>
      </c>
      <c r="S26" s="70">
        <f t="shared" si="7"/>
        <v>0.17285296675746331</v>
      </c>
      <c r="T26" s="40">
        <f t="shared" si="20"/>
        <v>0.7430434237229282</v>
      </c>
      <c r="U26" s="41">
        <f t="shared" si="9"/>
        <v>4</v>
      </c>
      <c r="V26" s="15">
        <f>N26+241.035</f>
        <v>2015.53</v>
      </c>
      <c r="W26" s="40">
        <f t="shared" si="10"/>
        <v>0.83716083134170527</v>
      </c>
      <c r="X26" s="41">
        <f t="shared" si="11"/>
        <v>4</v>
      </c>
      <c r="Y26" s="15">
        <v>2021.9949999999999</v>
      </c>
      <c r="Z26" s="39">
        <v>103.97</v>
      </c>
      <c r="AA26" s="40">
        <f t="shared" si="12"/>
        <v>4.3184478342965418E-2</v>
      </c>
      <c r="AB26" s="41">
        <f t="shared" si="13"/>
        <v>1</v>
      </c>
      <c r="AC26" s="57">
        <f t="shared" si="14"/>
        <v>3.1666666666666665</v>
      </c>
      <c r="AD26" s="60">
        <f t="shared" si="15"/>
        <v>3</v>
      </c>
      <c r="AE26" s="58">
        <v>1</v>
      </c>
      <c r="AF26" s="59">
        <f t="shared" si="16"/>
        <v>3</v>
      </c>
      <c r="AG26" s="60">
        <f t="shared" si="17"/>
        <v>2</v>
      </c>
      <c r="AH26" s="63">
        <v>2</v>
      </c>
      <c r="AI26" s="23">
        <v>2</v>
      </c>
      <c r="AJ26" s="48">
        <v>5</v>
      </c>
      <c r="AK26" s="23">
        <f t="shared" si="18"/>
        <v>10</v>
      </c>
      <c r="AL26" s="96">
        <f t="shared" si="19"/>
        <v>2</v>
      </c>
    </row>
    <row r="27" spans="1:38" ht="15.75" thickBot="1" x14ac:dyDescent="0.25">
      <c r="A27" s="37">
        <v>26</v>
      </c>
      <c r="B27" s="51" t="s">
        <v>64</v>
      </c>
      <c r="C27" s="44">
        <v>8155.45</v>
      </c>
      <c r="D27" s="52">
        <v>3218.0309999999999</v>
      </c>
      <c r="E27" s="52">
        <v>3163.826</v>
      </c>
      <c r="F27" s="52">
        <v>0</v>
      </c>
      <c r="G27" s="52">
        <v>62</v>
      </c>
      <c r="H27" s="45">
        <f t="shared" si="0"/>
        <v>0.38794008914284311</v>
      </c>
      <c r="I27" s="46">
        <f t="shared" si="1"/>
        <v>4</v>
      </c>
      <c r="J27" s="44">
        <v>174.58099999999999</v>
      </c>
      <c r="K27" s="45">
        <f t="shared" si="2"/>
        <v>5.5180341776064797E-2</v>
      </c>
      <c r="L27" s="55">
        <f t="shared" si="3"/>
        <v>4</v>
      </c>
      <c r="M27" s="46">
        <f t="shared" si="4"/>
        <v>2</v>
      </c>
      <c r="N27" s="44">
        <v>2280.2869999999998</v>
      </c>
      <c r="O27" s="45">
        <f t="shared" si="5"/>
        <v>0.72073717075464949</v>
      </c>
      <c r="P27" s="54">
        <f t="shared" si="6"/>
        <v>4</v>
      </c>
      <c r="Q27" s="44">
        <f>N27+52.756</f>
        <v>2333.0429999999997</v>
      </c>
      <c r="R27" s="52">
        <v>476.44</v>
      </c>
      <c r="S27" s="72">
        <f t="shared" si="7"/>
        <v>0.15058982383986982</v>
      </c>
      <c r="T27" s="45">
        <f t="shared" si="20"/>
        <v>0.73741191835454911</v>
      </c>
      <c r="U27" s="46">
        <f t="shared" si="9"/>
        <v>4</v>
      </c>
      <c r="V27" s="44">
        <f>505.368+N27</f>
        <v>2785.6549999999997</v>
      </c>
      <c r="W27" s="45">
        <f t="shared" si="10"/>
        <v>0.88047035456437861</v>
      </c>
      <c r="X27" s="46">
        <f t="shared" si="11"/>
        <v>4</v>
      </c>
      <c r="Y27" s="44">
        <v>2568.8589999999999</v>
      </c>
      <c r="Z27" s="52">
        <v>426.37599999999998</v>
      </c>
      <c r="AA27" s="45">
        <f t="shared" si="12"/>
        <v>0.13476594477698836</v>
      </c>
      <c r="AB27" s="46">
        <f t="shared" si="13"/>
        <v>2</v>
      </c>
      <c r="AC27" s="57">
        <f t="shared" si="14"/>
        <v>3.6666666666666665</v>
      </c>
      <c r="AD27" s="61">
        <f t="shared" si="15"/>
        <v>4</v>
      </c>
      <c r="AE27" s="58">
        <v>2</v>
      </c>
      <c r="AF27" s="59">
        <f t="shared" si="16"/>
        <v>8</v>
      </c>
      <c r="AG27" s="61">
        <f t="shared" si="17"/>
        <v>3</v>
      </c>
      <c r="AH27" s="67">
        <v>3</v>
      </c>
      <c r="AI27" s="23">
        <v>2</v>
      </c>
      <c r="AJ27" s="48">
        <v>5</v>
      </c>
      <c r="AK27" s="23">
        <f t="shared" si="18"/>
        <v>10</v>
      </c>
      <c r="AL27" s="96">
        <f t="shared" si="19"/>
        <v>2</v>
      </c>
    </row>
    <row r="28" spans="1:38" x14ac:dyDescent="0.25">
      <c r="A28" s="5"/>
      <c r="B28" s="5"/>
      <c r="C28" s="5"/>
      <c r="D28" s="7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31"/>
      <c r="T28" s="5"/>
      <c r="U28" s="4"/>
      <c r="V28" s="5"/>
      <c r="W28" s="5"/>
      <c r="X28" s="5"/>
      <c r="Y28" s="5"/>
      <c r="Z28" s="5"/>
      <c r="AA28" s="5"/>
      <c r="AB28" s="5"/>
      <c r="AC28" s="5"/>
      <c r="AD28" s="29"/>
      <c r="AE28" s="29"/>
      <c r="AF28" s="29"/>
      <c r="AG28" s="29"/>
      <c r="AH28" s="29"/>
      <c r="AI28" s="29"/>
      <c r="AJ28" s="29"/>
      <c r="AK28" s="29"/>
      <c r="AL28" s="5"/>
    </row>
  </sheetData>
  <sortState xmlns:xlrd2="http://schemas.microsoft.com/office/spreadsheetml/2017/richdata2" ref="A2:AL27">
    <sortCondition ref="A2:A2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29"/>
  <sheetViews>
    <sheetView topLeftCell="M1" zoomScale="80" zoomScaleNormal="80" workbookViewId="0">
      <selection activeCell="U6" sqref="U6"/>
    </sheetView>
  </sheetViews>
  <sheetFormatPr defaultColWidth="8.7109375" defaultRowHeight="12.75" x14ac:dyDescent="0.2"/>
  <cols>
    <col min="1" max="1" width="8.140625" style="2" customWidth="1"/>
    <col min="2" max="2" width="25.5703125" style="2" customWidth="1"/>
    <col min="3" max="3" width="13" style="2" customWidth="1"/>
    <col min="4" max="4" width="15.5703125" style="6" customWidth="1"/>
    <col min="5" max="6" width="14.140625" style="6" customWidth="1"/>
    <col min="7" max="7" width="14.7109375" style="2" customWidth="1"/>
    <col min="8" max="8" width="14.140625" style="2" customWidth="1"/>
    <col min="9" max="9" width="15.7109375" style="2" customWidth="1"/>
    <col min="10" max="12" width="15.140625" style="2" customWidth="1"/>
    <col min="13" max="13" width="16.28515625" style="2" customWidth="1"/>
    <col min="14" max="14" width="14.5703125" style="2" customWidth="1"/>
    <col min="15" max="15" width="15.85546875" style="2" customWidth="1"/>
    <col min="16" max="16" width="19.140625" style="2" customWidth="1"/>
    <col min="17" max="17" width="16.5703125" style="2" customWidth="1"/>
    <col min="18" max="18" width="20.85546875" style="2" customWidth="1"/>
    <col min="19" max="19" width="17.5703125" style="2" customWidth="1"/>
    <col min="20" max="20" width="15.7109375" style="2" customWidth="1"/>
    <col min="21" max="21" width="15.42578125" style="27" customWidth="1"/>
    <col min="22" max="22" width="14.5703125" style="27" customWidth="1"/>
    <col min="23" max="23" width="15.140625" style="27" customWidth="1"/>
    <col min="24" max="24" width="16" style="27" customWidth="1"/>
    <col min="25" max="25" width="15.140625" style="27" customWidth="1"/>
    <col min="26" max="26" width="14.5703125" style="27" customWidth="1"/>
    <col min="27" max="27" width="18" style="27" customWidth="1"/>
    <col min="28" max="28" width="16.28515625" style="27" customWidth="1"/>
    <col min="29" max="29" width="14.42578125" style="2" customWidth="1"/>
    <col min="30" max="16384" width="8.7109375" style="2"/>
  </cols>
  <sheetData>
    <row r="1" spans="1:29" ht="102" x14ac:dyDescent="0.2">
      <c r="A1" s="16" t="s">
        <v>0</v>
      </c>
      <c r="B1" s="17" t="s">
        <v>1</v>
      </c>
      <c r="C1" s="12" t="s">
        <v>2</v>
      </c>
      <c r="D1" s="13" t="s">
        <v>3</v>
      </c>
      <c r="E1" s="13" t="s">
        <v>4</v>
      </c>
      <c r="F1" s="13" t="s">
        <v>66</v>
      </c>
      <c r="G1" s="13" t="s">
        <v>6</v>
      </c>
      <c r="H1" s="13" t="s">
        <v>7</v>
      </c>
      <c r="I1" s="14" t="s">
        <v>8</v>
      </c>
      <c r="J1" s="12" t="s">
        <v>12</v>
      </c>
      <c r="K1" s="13" t="s">
        <v>13</v>
      </c>
      <c r="L1" s="14" t="s">
        <v>75</v>
      </c>
      <c r="M1" s="12" t="s">
        <v>76</v>
      </c>
      <c r="N1" s="13" t="s">
        <v>77</v>
      </c>
      <c r="O1" s="14" t="s">
        <v>78</v>
      </c>
      <c r="P1" s="20" t="s">
        <v>25</v>
      </c>
      <c r="Q1" s="13" t="s">
        <v>26</v>
      </c>
      <c r="R1" s="13" t="s">
        <v>79</v>
      </c>
      <c r="S1" s="14" t="s">
        <v>17</v>
      </c>
      <c r="T1" s="68" t="s">
        <v>29</v>
      </c>
      <c r="U1" s="22" t="s">
        <v>30</v>
      </c>
      <c r="V1" s="11" t="s">
        <v>31</v>
      </c>
      <c r="W1" s="24" t="s">
        <v>32</v>
      </c>
      <c r="X1" s="22" t="s">
        <v>33</v>
      </c>
      <c r="Y1" s="22" t="s">
        <v>34</v>
      </c>
      <c r="Z1" s="10" t="s">
        <v>35</v>
      </c>
      <c r="AA1" s="10" t="s">
        <v>36</v>
      </c>
      <c r="AB1" s="10" t="s">
        <v>37</v>
      </c>
      <c r="AC1" s="10" t="s">
        <v>38</v>
      </c>
    </row>
    <row r="2" spans="1:29" ht="15" x14ac:dyDescent="0.2">
      <c r="A2" s="18">
        <v>1</v>
      </c>
      <c r="B2" s="47" t="s">
        <v>39</v>
      </c>
      <c r="C2" s="15">
        <v>24016.080000000002</v>
      </c>
      <c r="D2" s="39">
        <v>6385.7330000000002</v>
      </c>
      <c r="E2" s="39">
        <v>6168.7169999999996</v>
      </c>
      <c r="F2" s="39">
        <v>36.640999999999998</v>
      </c>
      <c r="G2" s="39">
        <v>67</v>
      </c>
      <c r="H2" s="40">
        <f t="shared" ref="H2:H27" si="0">E2/C2</f>
        <v>0.25685778028720752</v>
      </c>
      <c r="I2" s="41">
        <f t="shared" ref="I2:I27" si="1">IF(H2&lt;10%,1,IF(H2&lt;20%,2,IF(H2&lt;30%,3,4)))</f>
        <v>3</v>
      </c>
      <c r="J2" s="15">
        <f>906.724+13.734</f>
        <v>920.45800000000008</v>
      </c>
      <c r="K2" s="40">
        <f t="shared" ref="K2:K27" si="2">J2/E2</f>
        <v>0.14921384787144557</v>
      </c>
      <c r="L2" s="53">
        <f t="shared" ref="L2:L27" si="3">IF(K2&lt;5%,1,IF(K2&lt;20%,2,IF(K2&lt;40%,3,4)))</f>
        <v>2</v>
      </c>
      <c r="M2" s="15">
        <f>829.769+J2</f>
        <v>1750.2270000000001</v>
      </c>
      <c r="N2" s="40">
        <f t="shared" ref="N2:N27" si="4">M2/E2</f>
        <v>0.28372625944746699</v>
      </c>
      <c r="O2" s="41">
        <f t="shared" ref="O2:O27" si="5">IF(N2&lt;10%,1,IF(N2&lt;20%,2,IF(N2&lt;40%,3,IF(N2&gt;40%,4))))</f>
        <v>3</v>
      </c>
      <c r="P2" s="15">
        <v>2752.9920000000002</v>
      </c>
      <c r="Q2" s="39">
        <v>986.7</v>
      </c>
      <c r="R2" s="40">
        <f t="shared" ref="R2:R27" si="6">Q2/E2</f>
        <v>0.15995222345262397</v>
      </c>
      <c r="S2" s="41">
        <f t="shared" ref="S2:S27" si="7">IF(R2&lt;5%,1,IF(R2&lt;15%,2,IF(R2&lt;25%,3,IF(R2&lt;40,4))))</f>
        <v>3</v>
      </c>
      <c r="T2" s="57">
        <f t="shared" ref="T2:T27" si="8">(S2+O2+L2+I2)/4</f>
        <v>2.75</v>
      </c>
      <c r="U2" s="60">
        <f t="shared" ref="U2:U27" si="9">IF(T2&lt;1.5,1,IF(T2&lt;2.5,2,IF(T2&lt;3.5,3,4)))</f>
        <v>3</v>
      </c>
      <c r="V2" s="58">
        <v>1</v>
      </c>
      <c r="W2" s="59">
        <f t="shared" ref="W2:W27" si="10">U2*V2</f>
        <v>3</v>
      </c>
      <c r="X2" s="60">
        <f t="shared" ref="X2:X27" si="11">IF(W2&lt;3,1,IF(W2&lt;5,2,IF(W2&lt;12,3,4)))</f>
        <v>2</v>
      </c>
      <c r="Y2" s="63">
        <v>2</v>
      </c>
      <c r="Z2" s="23">
        <v>3</v>
      </c>
      <c r="AA2" s="48">
        <v>4</v>
      </c>
      <c r="AB2" s="23">
        <f>Z2*AA2</f>
        <v>12</v>
      </c>
      <c r="AC2" s="94">
        <f>IF(AB2&lt;6,1,IF(AB2&lt;12,2,IF(AB2&lt;18,3,4)))</f>
        <v>3</v>
      </c>
    </row>
    <row r="3" spans="1:29" ht="15" x14ac:dyDescent="0.2">
      <c r="A3" s="18">
        <v>2</v>
      </c>
      <c r="B3" s="47" t="s">
        <v>40</v>
      </c>
      <c r="C3" s="15">
        <v>3218.24</v>
      </c>
      <c r="D3" s="39">
        <v>1530.242</v>
      </c>
      <c r="E3" s="39">
        <v>1499.578</v>
      </c>
      <c r="F3" s="39">
        <v>0.13700000000000001</v>
      </c>
      <c r="G3" s="39">
        <v>71</v>
      </c>
      <c r="H3" s="40">
        <f t="shared" si="0"/>
        <v>0.46596214079745452</v>
      </c>
      <c r="I3" s="41">
        <f t="shared" si="1"/>
        <v>4</v>
      </c>
      <c r="J3" s="15">
        <v>532.70000000000005</v>
      </c>
      <c r="K3" s="40">
        <f t="shared" si="2"/>
        <v>0.35523327229393875</v>
      </c>
      <c r="L3" s="53">
        <f t="shared" si="3"/>
        <v>3</v>
      </c>
      <c r="M3" s="15">
        <f>478.4+J3</f>
        <v>1011.1</v>
      </c>
      <c r="N3" s="40">
        <f t="shared" si="4"/>
        <v>0.67425635745523071</v>
      </c>
      <c r="O3" s="41">
        <f t="shared" si="5"/>
        <v>4</v>
      </c>
      <c r="P3" s="15">
        <v>1269.4590000000001</v>
      </c>
      <c r="Q3" s="39">
        <v>413.60700000000003</v>
      </c>
      <c r="R3" s="40">
        <f t="shared" si="6"/>
        <v>0.27581559612104206</v>
      </c>
      <c r="S3" s="41">
        <f t="shared" si="7"/>
        <v>4</v>
      </c>
      <c r="T3" s="57">
        <f t="shared" si="8"/>
        <v>3.75</v>
      </c>
      <c r="U3" s="60">
        <f t="shared" si="9"/>
        <v>4</v>
      </c>
      <c r="V3" s="58">
        <v>2</v>
      </c>
      <c r="W3" s="59">
        <f t="shared" si="10"/>
        <v>8</v>
      </c>
      <c r="X3" s="60">
        <f t="shared" si="11"/>
        <v>3</v>
      </c>
      <c r="Y3" s="64">
        <v>3</v>
      </c>
      <c r="Z3" s="23">
        <v>3</v>
      </c>
      <c r="AA3" s="48">
        <v>4</v>
      </c>
      <c r="AB3" s="23">
        <f t="shared" ref="AB3:AB27" si="12">Z3*AA3</f>
        <v>12</v>
      </c>
      <c r="AC3" s="94">
        <f t="shared" ref="AC3:AC27" si="13">IF(AB3&lt;6,1,IF(AB3&lt;12,2,IF(AB3&lt;18,3,4)))</f>
        <v>3</v>
      </c>
    </row>
    <row r="4" spans="1:29" ht="15" x14ac:dyDescent="0.2">
      <c r="A4" s="18">
        <v>3</v>
      </c>
      <c r="B4" s="49" t="s">
        <v>41</v>
      </c>
      <c r="C4" s="15">
        <v>1150.71</v>
      </c>
      <c r="D4" s="39">
        <v>53.204999999999998</v>
      </c>
      <c r="E4" s="39">
        <v>50.284999999999997</v>
      </c>
      <c r="F4" s="39">
        <v>14.334</v>
      </c>
      <c r="G4" s="39">
        <v>80</v>
      </c>
      <c r="H4" s="40">
        <f t="shared" si="0"/>
        <v>4.3699107507538817E-2</v>
      </c>
      <c r="I4" s="41">
        <f t="shared" si="1"/>
        <v>1</v>
      </c>
      <c r="J4" s="15">
        <v>3.2050000000000001</v>
      </c>
      <c r="K4" s="40">
        <f t="shared" si="2"/>
        <v>6.3736700805409177E-2</v>
      </c>
      <c r="L4" s="53">
        <f t="shared" si="3"/>
        <v>2</v>
      </c>
      <c r="M4" s="15">
        <f>J4+3.641</f>
        <v>6.8460000000000001</v>
      </c>
      <c r="N4" s="40">
        <f t="shared" si="4"/>
        <v>0.13614397931788805</v>
      </c>
      <c r="O4" s="41">
        <f t="shared" si="5"/>
        <v>2</v>
      </c>
      <c r="P4" s="15">
        <v>30.716000000000001</v>
      </c>
      <c r="Q4" s="39">
        <v>5.35</v>
      </c>
      <c r="R4" s="40">
        <f t="shared" si="6"/>
        <v>0.10639355672665805</v>
      </c>
      <c r="S4" s="41">
        <f t="shared" si="7"/>
        <v>2</v>
      </c>
      <c r="T4" s="57">
        <f t="shared" si="8"/>
        <v>1.75</v>
      </c>
      <c r="U4" s="60">
        <f t="shared" si="9"/>
        <v>2</v>
      </c>
      <c r="V4" s="58">
        <v>1</v>
      </c>
      <c r="W4" s="59">
        <f t="shared" si="10"/>
        <v>2</v>
      </c>
      <c r="X4" s="60">
        <f t="shared" si="11"/>
        <v>1</v>
      </c>
      <c r="Y4" s="62">
        <v>1</v>
      </c>
      <c r="Z4" s="23">
        <v>3</v>
      </c>
      <c r="AA4" s="48">
        <v>4</v>
      </c>
      <c r="AB4" s="23">
        <f t="shared" si="12"/>
        <v>12</v>
      </c>
      <c r="AC4" s="94">
        <f t="shared" si="13"/>
        <v>3</v>
      </c>
    </row>
    <row r="5" spans="1:29" ht="15" x14ac:dyDescent="0.2">
      <c r="A5" s="18">
        <v>4</v>
      </c>
      <c r="B5" s="47" t="s">
        <v>42</v>
      </c>
      <c r="C5" s="15">
        <v>2072.1999999999998</v>
      </c>
      <c r="D5" s="39">
        <v>913.41800000000001</v>
      </c>
      <c r="E5" s="39">
        <v>870.41700000000003</v>
      </c>
      <c r="F5" s="39">
        <v>5.0350000000000001</v>
      </c>
      <c r="G5" s="39">
        <v>62</v>
      </c>
      <c r="H5" s="40">
        <f t="shared" si="0"/>
        <v>0.42004487983785355</v>
      </c>
      <c r="I5" s="41">
        <f t="shared" si="1"/>
        <v>4</v>
      </c>
      <c r="J5" s="15">
        <v>598.63</v>
      </c>
      <c r="K5" s="40">
        <f t="shared" si="2"/>
        <v>0.68775081369044944</v>
      </c>
      <c r="L5" s="53">
        <f t="shared" si="3"/>
        <v>4</v>
      </c>
      <c r="M5" s="15">
        <f>75.37+J5</f>
        <v>674</v>
      </c>
      <c r="N5" s="40">
        <f t="shared" si="4"/>
        <v>0.77434149378975825</v>
      </c>
      <c r="O5" s="41">
        <f t="shared" si="5"/>
        <v>4</v>
      </c>
      <c r="P5" s="15">
        <v>819.81700000000001</v>
      </c>
      <c r="Q5" s="39">
        <v>6.2889999999999997</v>
      </c>
      <c r="R5" s="40">
        <f t="shared" si="6"/>
        <v>7.225272484337966E-3</v>
      </c>
      <c r="S5" s="41">
        <f t="shared" si="7"/>
        <v>1</v>
      </c>
      <c r="T5" s="57">
        <f t="shared" si="8"/>
        <v>3.25</v>
      </c>
      <c r="U5" s="60">
        <f t="shared" si="9"/>
        <v>3</v>
      </c>
      <c r="V5" s="58">
        <v>3</v>
      </c>
      <c r="W5" s="59">
        <f t="shared" si="10"/>
        <v>9</v>
      </c>
      <c r="X5" s="60">
        <f t="shared" si="11"/>
        <v>3</v>
      </c>
      <c r="Y5" s="64">
        <v>3</v>
      </c>
      <c r="Z5" s="23">
        <v>3</v>
      </c>
      <c r="AA5" s="48">
        <v>4</v>
      </c>
      <c r="AB5" s="23">
        <f t="shared" si="12"/>
        <v>12</v>
      </c>
      <c r="AC5" s="94">
        <f t="shared" si="13"/>
        <v>3</v>
      </c>
    </row>
    <row r="6" spans="1:29" ht="15" x14ac:dyDescent="0.2">
      <c r="A6" s="18">
        <v>5</v>
      </c>
      <c r="B6" s="47" t="s">
        <v>43</v>
      </c>
      <c r="C6" s="15">
        <v>8249.25</v>
      </c>
      <c r="D6" s="39">
        <f>4484.424+544.68</f>
        <v>5029.1040000000003</v>
      </c>
      <c r="E6" s="39">
        <f>4107.924+346.657</f>
        <v>4454.5810000000001</v>
      </c>
      <c r="F6" s="39">
        <v>3.2559999999999998</v>
      </c>
      <c r="G6" s="39">
        <v>75</v>
      </c>
      <c r="H6" s="40">
        <f t="shared" si="0"/>
        <v>0.53999830287601902</v>
      </c>
      <c r="I6" s="41">
        <f t="shared" si="1"/>
        <v>4</v>
      </c>
      <c r="J6" s="15">
        <f>2747.98+345.901</f>
        <v>3093.8809999999999</v>
      </c>
      <c r="K6" s="40">
        <f t="shared" si="2"/>
        <v>0.69453917214660588</v>
      </c>
      <c r="L6" s="53">
        <f t="shared" si="3"/>
        <v>4</v>
      </c>
      <c r="M6" s="15">
        <f>595.94+J6</f>
        <v>3689.8209999999999</v>
      </c>
      <c r="N6" s="40">
        <f t="shared" si="4"/>
        <v>0.82832055360537837</v>
      </c>
      <c r="O6" s="41">
        <f t="shared" si="5"/>
        <v>4</v>
      </c>
      <c r="P6" s="15">
        <v>3300.3150000000001</v>
      </c>
      <c r="Q6" s="39">
        <v>314.87799999999999</v>
      </c>
      <c r="R6" s="40">
        <f t="shared" si="6"/>
        <v>7.0686333911090624E-2</v>
      </c>
      <c r="S6" s="41">
        <f t="shared" si="7"/>
        <v>2</v>
      </c>
      <c r="T6" s="57">
        <f t="shared" si="8"/>
        <v>3.5</v>
      </c>
      <c r="U6" s="60">
        <f t="shared" si="9"/>
        <v>4</v>
      </c>
      <c r="V6" s="58">
        <v>4</v>
      </c>
      <c r="W6" s="59">
        <f t="shared" si="10"/>
        <v>16</v>
      </c>
      <c r="X6" s="60">
        <f t="shared" si="11"/>
        <v>4</v>
      </c>
      <c r="Y6" s="65">
        <v>4</v>
      </c>
      <c r="Z6" s="23">
        <v>3</v>
      </c>
      <c r="AA6" s="48">
        <v>4</v>
      </c>
      <c r="AB6" s="23">
        <f t="shared" si="12"/>
        <v>12</v>
      </c>
      <c r="AC6" s="94">
        <f t="shared" si="13"/>
        <v>3</v>
      </c>
    </row>
    <row r="7" spans="1:29" ht="15" x14ac:dyDescent="0.2">
      <c r="A7" s="18">
        <v>6</v>
      </c>
      <c r="B7" s="47" t="s">
        <v>44</v>
      </c>
      <c r="C7" s="15">
        <v>15254.96</v>
      </c>
      <c r="D7" s="39">
        <v>4533.4790000000003</v>
      </c>
      <c r="E7" s="39">
        <v>4403.652</v>
      </c>
      <c r="F7" s="39">
        <v>39.305999999999997</v>
      </c>
      <c r="G7" s="39">
        <v>70</v>
      </c>
      <c r="H7" s="40">
        <f t="shared" si="0"/>
        <v>0.2886701767818467</v>
      </c>
      <c r="I7" s="41">
        <f t="shared" si="1"/>
        <v>3</v>
      </c>
      <c r="J7" s="15">
        <v>1620.4559999999999</v>
      </c>
      <c r="K7" s="40">
        <f t="shared" si="2"/>
        <v>0.36798003111962524</v>
      </c>
      <c r="L7" s="53">
        <f t="shared" si="3"/>
        <v>3</v>
      </c>
      <c r="M7" s="15">
        <f>682.054+J7</f>
        <v>2302.5099999999998</v>
      </c>
      <c r="N7" s="40">
        <f t="shared" si="4"/>
        <v>0.52286375035992849</v>
      </c>
      <c r="O7" s="41">
        <f t="shared" si="5"/>
        <v>4</v>
      </c>
      <c r="P7" s="15">
        <v>2789.2449999999999</v>
      </c>
      <c r="Q7" s="39">
        <v>2023.6759999999999</v>
      </c>
      <c r="R7" s="40">
        <f t="shared" si="6"/>
        <v>0.45954494133505552</v>
      </c>
      <c r="S7" s="41">
        <f t="shared" si="7"/>
        <v>4</v>
      </c>
      <c r="T7" s="57">
        <f t="shared" si="8"/>
        <v>3.5</v>
      </c>
      <c r="U7" s="60">
        <f t="shared" si="9"/>
        <v>4</v>
      </c>
      <c r="V7" s="58">
        <v>2</v>
      </c>
      <c r="W7" s="59">
        <f t="shared" si="10"/>
        <v>8</v>
      </c>
      <c r="X7" s="60">
        <f t="shared" si="11"/>
        <v>3</v>
      </c>
      <c r="Y7" s="64">
        <v>3</v>
      </c>
      <c r="Z7" s="23">
        <v>3</v>
      </c>
      <c r="AA7" s="48">
        <v>4</v>
      </c>
      <c r="AB7" s="23">
        <f t="shared" si="12"/>
        <v>12</v>
      </c>
      <c r="AC7" s="94">
        <f t="shared" si="13"/>
        <v>3</v>
      </c>
    </row>
    <row r="8" spans="1:29" ht="15" x14ac:dyDescent="0.2">
      <c r="A8" s="18">
        <v>7</v>
      </c>
      <c r="B8" s="47" t="s">
        <v>45</v>
      </c>
      <c r="C8" s="15">
        <v>7544.51</v>
      </c>
      <c r="D8" s="39">
        <f>5458.694+1032.261</f>
        <v>6490.9549999999999</v>
      </c>
      <c r="E8" s="39">
        <f>5363.368+759.835</f>
        <v>6123.2030000000004</v>
      </c>
      <c r="F8" s="39">
        <v>48.709000000000003</v>
      </c>
      <c r="G8" s="39">
        <v>69</v>
      </c>
      <c r="H8" s="40">
        <f t="shared" si="0"/>
        <v>0.81161042930554805</v>
      </c>
      <c r="I8" s="41">
        <f t="shared" si="1"/>
        <v>4</v>
      </c>
      <c r="J8" s="15">
        <f>5059.394+759.017</f>
        <v>5818.4110000000001</v>
      </c>
      <c r="K8" s="40">
        <f t="shared" si="2"/>
        <v>0.95022343698224598</v>
      </c>
      <c r="L8" s="53">
        <f t="shared" si="3"/>
        <v>4</v>
      </c>
      <c r="M8" s="15">
        <f>94.02+J8+0.004</f>
        <v>5912.4350000000004</v>
      </c>
      <c r="N8" s="40">
        <f t="shared" si="4"/>
        <v>0.96557879920035317</v>
      </c>
      <c r="O8" s="41">
        <f t="shared" si="5"/>
        <v>4</v>
      </c>
      <c r="P8" s="15">
        <v>5154.2719999999999</v>
      </c>
      <c r="Q8" s="39">
        <v>1830.9960000000001</v>
      </c>
      <c r="R8" s="40">
        <f t="shared" si="6"/>
        <v>0.29902585297270073</v>
      </c>
      <c r="S8" s="41">
        <f t="shared" si="7"/>
        <v>4</v>
      </c>
      <c r="T8" s="57">
        <f t="shared" si="8"/>
        <v>4</v>
      </c>
      <c r="U8" s="60">
        <f t="shared" si="9"/>
        <v>4</v>
      </c>
      <c r="V8" s="58">
        <v>3</v>
      </c>
      <c r="W8" s="59">
        <f t="shared" si="10"/>
        <v>12</v>
      </c>
      <c r="X8" s="60">
        <f t="shared" si="11"/>
        <v>4</v>
      </c>
      <c r="Y8" s="65">
        <v>4</v>
      </c>
      <c r="Z8" s="23">
        <v>3</v>
      </c>
      <c r="AA8" s="48">
        <v>4</v>
      </c>
      <c r="AB8" s="23">
        <f t="shared" si="12"/>
        <v>12</v>
      </c>
      <c r="AC8" s="94">
        <f t="shared" si="13"/>
        <v>3</v>
      </c>
    </row>
    <row r="9" spans="1:29" ht="15" x14ac:dyDescent="0.2">
      <c r="A9" s="18">
        <v>8</v>
      </c>
      <c r="B9" s="47" t="s">
        <v>46</v>
      </c>
      <c r="C9" s="15">
        <v>3799.2</v>
      </c>
      <c r="D9" s="39">
        <f>1226.63+2004.323</f>
        <v>3230.9530000000004</v>
      </c>
      <c r="E9" s="39">
        <f>1202.96+1271.378</f>
        <v>2474.3379999999997</v>
      </c>
      <c r="F9" s="39">
        <v>18.247</v>
      </c>
      <c r="G9" s="39">
        <v>71</v>
      </c>
      <c r="H9" s="40">
        <f t="shared" si="0"/>
        <v>0.65127869025057905</v>
      </c>
      <c r="I9" s="41">
        <f t="shared" si="1"/>
        <v>4</v>
      </c>
      <c r="J9" s="15">
        <f>941.456+1148.167</f>
        <v>2089.623</v>
      </c>
      <c r="K9" s="40">
        <f t="shared" si="2"/>
        <v>0.84451800845317015</v>
      </c>
      <c r="L9" s="53">
        <f t="shared" si="3"/>
        <v>4</v>
      </c>
      <c r="M9" s="15">
        <f>40.937+J9+16.804</f>
        <v>2147.364</v>
      </c>
      <c r="N9" s="40">
        <f t="shared" si="4"/>
        <v>0.86785394719718978</v>
      </c>
      <c r="O9" s="41">
        <f t="shared" si="5"/>
        <v>4</v>
      </c>
      <c r="P9" s="15">
        <v>1169.921</v>
      </c>
      <c r="Q9" s="39">
        <v>301.07299999999998</v>
      </c>
      <c r="R9" s="40">
        <f t="shared" si="6"/>
        <v>0.12167820241211993</v>
      </c>
      <c r="S9" s="41">
        <f t="shared" si="7"/>
        <v>2</v>
      </c>
      <c r="T9" s="57">
        <f t="shared" si="8"/>
        <v>3.5</v>
      </c>
      <c r="U9" s="60">
        <f t="shared" si="9"/>
        <v>4</v>
      </c>
      <c r="V9" s="58">
        <v>4</v>
      </c>
      <c r="W9" s="59">
        <f t="shared" si="10"/>
        <v>16</v>
      </c>
      <c r="X9" s="60">
        <f t="shared" si="11"/>
        <v>4</v>
      </c>
      <c r="Y9" s="65">
        <v>4</v>
      </c>
      <c r="Z9" s="23">
        <v>3</v>
      </c>
      <c r="AA9" s="48">
        <v>4</v>
      </c>
      <c r="AB9" s="23">
        <f t="shared" si="12"/>
        <v>12</v>
      </c>
      <c r="AC9" s="94">
        <f t="shared" si="13"/>
        <v>3</v>
      </c>
    </row>
    <row r="10" spans="1:29" ht="15" x14ac:dyDescent="0.2">
      <c r="A10" s="18">
        <v>9</v>
      </c>
      <c r="B10" s="47" t="s">
        <v>47</v>
      </c>
      <c r="C10" s="15">
        <v>13032.67</v>
      </c>
      <c r="D10" s="39">
        <v>3043.2350000000001</v>
      </c>
      <c r="E10" s="39">
        <v>2962.317</v>
      </c>
      <c r="F10" s="39">
        <v>0</v>
      </c>
      <c r="G10" s="39">
        <v>65</v>
      </c>
      <c r="H10" s="40">
        <f t="shared" si="0"/>
        <v>0.22729931779136586</v>
      </c>
      <c r="I10" s="41">
        <f t="shared" si="1"/>
        <v>3</v>
      </c>
      <c r="J10" s="15">
        <v>1137.4079999999999</v>
      </c>
      <c r="K10" s="40">
        <f t="shared" si="2"/>
        <v>0.38395890784139575</v>
      </c>
      <c r="L10" s="53">
        <f t="shared" si="3"/>
        <v>3</v>
      </c>
      <c r="M10" s="15">
        <f>471.01+J10</f>
        <v>1608.4179999999999</v>
      </c>
      <c r="N10" s="40">
        <f t="shared" si="4"/>
        <v>0.54295944694642739</v>
      </c>
      <c r="O10" s="41">
        <f t="shared" si="5"/>
        <v>4</v>
      </c>
      <c r="P10" s="15">
        <v>1429.96</v>
      </c>
      <c r="Q10" s="39">
        <v>947.75</v>
      </c>
      <c r="R10" s="40">
        <f t="shared" si="6"/>
        <v>0.31993537491092278</v>
      </c>
      <c r="S10" s="41">
        <f t="shared" si="7"/>
        <v>4</v>
      </c>
      <c r="T10" s="57">
        <f t="shared" si="8"/>
        <v>3.5</v>
      </c>
      <c r="U10" s="60">
        <f t="shared" si="9"/>
        <v>4</v>
      </c>
      <c r="V10" s="58">
        <v>2</v>
      </c>
      <c r="W10" s="59">
        <f t="shared" si="10"/>
        <v>8</v>
      </c>
      <c r="X10" s="60">
        <f t="shared" si="11"/>
        <v>3</v>
      </c>
      <c r="Y10" s="64">
        <v>3</v>
      </c>
      <c r="Z10" s="23">
        <v>3</v>
      </c>
      <c r="AA10" s="48">
        <v>4</v>
      </c>
      <c r="AB10" s="23">
        <f t="shared" si="12"/>
        <v>12</v>
      </c>
      <c r="AC10" s="94">
        <f t="shared" si="13"/>
        <v>3</v>
      </c>
    </row>
    <row r="11" spans="1:29" s="5" customFormat="1" ht="15" x14ac:dyDescent="0.2">
      <c r="A11" s="18">
        <v>10</v>
      </c>
      <c r="B11" s="47" t="s">
        <v>48</v>
      </c>
      <c r="C11" s="15">
        <v>10485.299999999999</v>
      </c>
      <c r="D11" s="39">
        <v>1960.377</v>
      </c>
      <c r="E11" s="39">
        <v>1923.1890000000001</v>
      </c>
      <c r="F11" s="39">
        <v>2.9609999999999999</v>
      </c>
      <c r="G11" s="39">
        <v>66</v>
      </c>
      <c r="H11" s="40">
        <f t="shared" si="0"/>
        <v>0.18341764184143516</v>
      </c>
      <c r="I11" s="41">
        <f t="shared" si="1"/>
        <v>2</v>
      </c>
      <c r="J11" s="15">
        <v>193.58699999999999</v>
      </c>
      <c r="K11" s="40">
        <f t="shared" si="2"/>
        <v>0.10065937357170823</v>
      </c>
      <c r="L11" s="53">
        <f t="shared" si="3"/>
        <v>2</v>
      </c>
      <c r="M11" s="15">
        <f>139.4+J11</f>
        <v>332.98699999999997</v>
      </c>
      <c r="N11" s="40">
        <f t="shared" si="4"/>
        <v>0.17314314921726359</v>
      </c>
      <c r="O11" s="41">
        <f t="shared" si="5"/>
        <v>2</v>
      </c>
      <c r="P11" s="15">
        <v>894.13900000000001</v>
      </c>
      <c r="Q11" s="39">
        <v>532.31899999999996</v>
      </c>
      <c r="R11" s="40">
        <f t="shared" si="6"/>
        <v>0.27678974869344614</v>
      </c>
      <c r="S11" s="41">
        <f t="shared" si="7"/>
        <v>4</v>
      </c>
      <c r="T11" s="57">
        <f t="shared" si="8"/>
        <v>2.5</v>
      </c>
      <c r="U11" s="60">
        <f t="shared" si="9"/>
        <v>3</v>
      </c>
      <c r="V11" s="58">
        <v>1</v>
      </c>
      <c r="W11" s="59">
        <f t="shared" si="10"/>
        <v>3</v>
      </c>
      <c r="X11" s="60">
        <f t="shared" si="11"/>
        <v>2</v>
      </c>
      <c r="Y11" s="63">
        <v>2</v>
      </c>
      <c r="Z11" s="23">
        <v>3</v>
      </c>
      <c r="AA11" s="48">
        <v>4</v>
      </c>
      <c r="AB11" s="23">
        <f t="shared" si="12"/>
        <v>12</v>
      </c>
      <c r="AC11" s="94">
        <f t="shared" si="13"/>
        <v>3</v>
      </c>
    </row>
    <row r="12" spans="1:29" ht="15" x14ac:dyDescent="0.2">
      <c r="A12" s="18">
        <v>11</v>
      </c>
      <c r="B12" s="47" t="s">
        <v>49</v>
      </c>
      <c r="C12" s="15">
        <v>15990.05</v>
      </c>
      <c r="D12" s="39">
        <v>4939.9030000000002</v>
      </c>
      <c r="E12" s="39">
        <v>4867.3379999999997</v>
      </c>
      <c r="F12" s="39">
        <v>8.5060000000000002</v>
      </c>
      <c r="G12" s="39">
        <v>70</v>
      </c>
      <c r="H12" s="40">
        <f t="shared" si="0"/>
        <v>0.3043979224580286</v>
      </c>
      <c r="I12" s="41">
        <f t="shared" si="1"/>
        <v>4</v>
      </c>
      <c r="J12" s="15">
        <v>1603.7940000000001</v>
      </c>
      <c r="K12" s="40">
        <f t="shared" si="2"/>
        <v>0.32950125920985973</v>
      </c>
      <c r="L12" s="53">
        <f t="shared" si="3"/>
        <v>3</v>
      </c>
      <c r="M12" s="15">
        <f>956.716+J12</f>
        <v>2560.5100000000002</v>
      </c>
      <c r="N12" s="40">
        <f t="shared" si="4"/>
        <v>0.52605962437784271</v>
      </c>
      <c r="O12" s="41">
        <f t="shared" si="5"/>
        <v>4</v>
      </c>
      <c r="P12" s="15">
        <v>3590.5189999999998</v>
      </c>
      <c r="Q12" s="39">
        <v>1199.6489999999999</v>
      </c>
      <c r="R12" s="40">
        <f t="shared" si="6"/>
        <v>0.24646921993089446</v>
      </c>
      <c r="S12" s="41">
        <f t="shared" si="7"/>
        <v>3</v>
      </c>
      <c r="T12" s="57">
        <f t="shared" si="8"/>
        <v>3.5</v>
      </c>
      <c r="U12" s="60">
        <f t="shared" si="9"/>
        <v>4</v>
      </c>
      <c r="V12" s="58">
        <v>2</v>
      </c>
      <c r="W12" s="59">
        <f t="shared" si="10"/>
        <v>8</v>
      </c>
      <c r="X12" s="60">
        <f t="shared" si="11"/>
        <v>3</v>
      </c>
      <c r="Y12" s="64">
        <v>3</v>
      </c>
      <c r="Z12" s="23">
        <v>3</v>
      </c>
      <c r="AA12" s="48">
        <v>4</v>
      </c>
      <c r="AB12" s="23">
        <f t="shared" si="12"/>
        <v>12</v>
      </c>
      <c r="AC12" s="94">
        <f t="shared" si="13"/>
        <v>3</v>
      </c>
    </row>
    <row r="13" spans="1:29" ht="15" x14ac:dyDescent="0.2">
      <c r="A13" s="18">
        <v>12</v>
      </c>
      <c r="B13" s="47" t="s">
        <v>50</v>
      </c>
      <c r="C13" s="15">
        <v>14508.82</v>
      </c>
      <c r="D13" s="39">
        <v>2204.8339999999998</v>
      </c>
      <c r="E13" s="39">
        <v>2136.7280000000001</v>
      </c>
      <c r="F13" s="39">
        <v>2.9550000000000001</v>
      </c>
      <c r="G13" s="39">
        <v>73</v>
      </c>
      <c r="H13" s="40">
        <f t="shared" si="0"/>
        <v>0.14727097034769196</v>
      </c>
      <c r="I13" s="41">
        <f t="shared" si="1"/>
        <v>2</v>
      </c>
      <c r="J13" s="15">
        <v>262.37700000000001</v>
      </c>
      <c r="K13" s="40">
        <f t="shared" si="2"/>
        <v>0.1227938230790255</v>
      </c>
      <c r="L13" s="53">
        <f t="shared" si="3"/>
        <v>2</v>
      </c>
      <c r="M13" s="15">
        <f>1284.782+J13</f>
        <v>1547.1589999999999</v>
      </c>
      <c r="N13" s="40">
        <f t="shared" si="4"/>
        <v>0.72407859119176599</v>
      </c>
      <c r="O13" s="41">
        <f t="shared" si="5"/>
        <v>4</v>
      </c>
      <c r="P13" s="15">
        <v>1095.9649999999999</v>
      </c>
      <c r="Q13" s="39">
        <v>477.05500000000001</v>
      </c>
      <c r="R13" s="40">
        <f t="shared" si="6"/>
        <v>0.22326426199310348</v>
      </c>
      <c r="S13" s="41">
        <f t="shared" si="7"/>
        <v>3</v>
      </c>
      <c r="T13" s="57">
        <f t="shared" si="8"/>
        <v>2.75</v>
      </c>
      <c r="U13" s="60">
        <f t="shared" si="9"/>
        <v>3</v>
      </c>
      <c r="V13" s="58">
        <v>1</v>
      </c>
      <c r="W13" s="59">
        <f t="shared" si="10"/>
        <v>3</v>
      </c>
      <c r="X13" s="60">
        <f t="shared" si="11"/>
        <v>2</v>
      </c>
      <c r="Y13" s="63">
        <v>2</v>
      </c>
      <c r="Z13" s="23">
        <v>3</v>
      </c>
      <c r="AA13" s="48">
        <v>4</v>
      </c>
      <c r="AB13" s="23">
        <f t="shared" si="12"/>
        <v>12</v>
      </c>
      <c r="AC13" s="94">
        <f t="shared" si="13"/>
        <v>3</v>
      </c>
    </row>
    <row r="14" spans="1:29" ht="15" x14ac:dyDescent="0.2">
      <c r="A14" s="18">
        <v>13</v>
      </c>
      <c r="B14" s="47" t="s">
        <v>51</v>
      </c>
      <c r="C14" s="15">
        <v>4316.6400000000003</v>
      </c>
      <c r="D14" s="39">
        <f>2488.881+507.235</f>
        <v>2996.116</v>
      </c>
      <c r="E14" s="39">
        <f>2455.663+276.902</f>
        <v>2732.5650000000001</v>
      </c>
      <c r="F14" s="39">
        <v>0</v>
      </c>
      <c r="G14" s="39">
        <v>80</v>
      </c>
      <c r="H14" s="40">
        <f t="shared" si="0"/>
        <v>0.63303055154008669</v>
      </c>
      <c r="I14" s="41">
        <f t="shared" si="1"/>
        <v>4</v>
      </c>
      <c r="J14" s="15">
        <f>1780.153+261.677</f>
        <v>2041.83</v>
      </c>
      <c r="K14" s="40">
        <f t="shared" si="2"/>
        <v>0.74722101761531745</v>
      </c>
      <c r="L14" s="53">
        <f t="shared" si="3"/>
        <v>4</v>
      </c>
      <c r="M14" s="15">
        <f>371.99+J14+13.06</f>
        <v>2426.8799999999997</v>
      </c>
      <c r="N14" s="40">
        <f t="shared" si="4"/>
        <v>0.8881325787309724</v>
      </c>
      <c r="O14" s="41">
        <f t="shared" si="5"/>
        <v>4</v>
      </c>
      <c r="P14" s="15">
        <v>2341.2510000000002</v>
      </c>
      <c r="Q14" s="39">
        <v>825.94899999999996</v>
      </c>
      <c r="R14" s="40">
        <f t="shared" si="6"/>
        <v>0.30226142836492453</v>
      </c>
      <c r="S14" s="41">
        <f t="shared" si="7"/>
        <v>4</v>
      </c>
      <c r="T14" s="57">
        <f t="shared" si="8"/>
        <v>4</v>
      </c>
      <c r="U14" s="60">
        <f t="shared" si="9"/>
        <v>4</v>
      </c>
      <c r="V14" s="58">
        <v>4</v>
      </c>
      <c r="W14" s="59">
        <f t="shared" si="10"/>
        <v>16</v>
      </c>
      <c r="X14" s="60">
        <f t="shared" si="11"/>
        <v>4</v>
      </c>
      <c r="Y14" s="65">
        <v>4</v>
      </c>
      <c r="Z14" s="23">
        <v>3</v>
      </c>
      <c r="AA14" s="48">
        <v>4</v>
      </c>
      <c r="AB14" s="23">
        <f t="shared" si="12"/>
        <v>12</v>
      </c>
      <c r="AC14" s="94">
        <f t="shared" si="13"/>
        <v>3</v>
      </c>
    </row>
    <row r="15" spans="1:29" ht="15" x14ac:dyDescent="0.2">
      <c r="A15" s="18">
        <v>14</v>
      </c>
      <c r="B15" s="47" t="s">
        <v>52</v>
      </c>
      <c r="C15" s="15">
        <v>9427.44</v>
      </c>
      <c r="D15" s="39">
        <v>2722.3919999999998</v>
      </c>
      <c r="E15" s="39">
        <v>2667.7190000000001</v>
      </c>
      <c r="F15" s="39">
        <v>15.359</v>
      </c>
      <c r="G15" s="39">
        <v>67</v>
      </c>
      <c r="H15" s="40">
        <f t="shared" si="0"/>
        <v>0.28297385080149012</v>
      </c>
      <c r="I15" s="41">
        <f t="shared" si="1"/>
        <v>3</v>
      </c>
      <c r="J15" s="15">
        <v>1279.624</v>
      </c>
      <c r="K15" s="40">
        <f t="shared" si="2"/>
        <v>0.47966971034055683</v>
      </c>
      <c r="L15" s="53">
        <f t="shared" si="3"/>
        <v>4</v>
      </c>
      <c r="M15" s="15">
        <f>455.088+J15</f>
        <v>1734.712</v>
      </c>
      <c r="N15" s="40">
        <f t="shared" si="4"/>
        <v>0.65026039099320432</v>
      </c>
      <c r="O15" s="41">
        <f t="shared" si="5"/>
        <v>4</v>
      </c>
      <c r="P15" s="15">
        <v>1460.7170000000001</v>
      </c>
      <c r="Q15" s="39">
        <v>500.77499999999998</v>
      </c>
      <c r="R15" s="40">
        <f t="shared" si="6"/>
        <v>0.18771654735749904</v>
      </c>
      <c r="S15" s="41">
        <f t="shared" si="7"/>
        <v>3</v>
      </c>
      <c r="T15" s="57">
        <f t="shared" si="8"/>
        <v>3.5</v>
      </c>
      <c r="U15" s="60">
        <f t="shared" si="9"/>
        <v>4</v>
      </c>
      <c r="V15" s="58">
        <v>3</v>
      </c>
      <c r="W15" s="59">
        <f t="shared" si="10"/>
        <v>12</v>
      </c>
      <c r="X15" s="60">
        <f t="shared" si="11"/>
        <v>4</v>
      </c>
      <c r="Y15" s="65">
        <v>4</v>
      </c>
      <c r="Z15" s="23">
        <v>3</v>
      </c>
      <c r="AA15" s="48">
        <v>4</v>
      </c>
      <c r="AB15" s="23">
        <f t="shared" si="12"/>
        <v>12</v>
      </c>
      <c r="AC15" s="94">
        <f t="shared" si="13"/>
        <v>3</v>
      </c>
    </row>
    <row r="16" spans="1:29" ht="15" x14ac:dyDescent="0.2">
      <c r="A16" s="18">
        <v>15</v>
      </c>
      <c r="B16" s="47" t="s">
        <v>53</v>
      </c>
      <c r="C16" s="15">
        <v>4712.68</v>
      </c>
      <c r="D16" s="39">
        <v>997.83699999999999</v>
      </c>
      <c r="E16" s="39">
        <v>937.44</v>
      </c>
      <c r="F16" s="39">
        <v>5.3680000000000003</v>
      </c>
      <c r="G16" s="39">
        <v>73</v>
      </c>
      <c r="H16" s="40">
        <f t="shared" si="0"/>
        <v>0.19891866199275146</v>
      </c>
      <c r="I16" s="41">
        <f t="shared" si="1"/>
        <v>2</v>
      </c>
      <c r="J16" s="15">
        <v>253.91300000000001</v>
      </c>
      <c r="K16" s="40">
        <f t="shared" si="2"/>
        <v>0.2708578682369005</v>
      </c>
      <c r="L16" s="53">
        <f t="shared" si="3"/>
        <v>3</v>
      </c>
      <c r="M16" s="15">
        <f>383.995+J16</f>
        <v>637.90800000000002</v>
      </c>
      <c r="N16" s="40">
        <f t="shared" si="4"/>
        <v>0.68047875064004093</v>
      </c>
      <c r="O16" s="41">
        <f t="shared" si="5"/>
        <v>4</v>
      </c>
      <c r="P16" s="15">
        <v>491.40499999999997</v>
      </c>
      <c r="Q16" s="39">
        <v>53.585000000000001</v>
      </c>
      <c r="R16" s="40">
        <f t="shared" si="6"/>
        <v>5.7160991636798088E-2</v>
      </c>
      <c r="S16" s="41">
        <f t="shared" si="7"/>
        <v>2</v>
      </c>
      <c r="T16" s="57">
        <f t="shared" si="8"/>
        <v>2.75</v>
      </c>
      <c r="U16" s="60">
        <f t="shared" si="9"/>
        <v>3</v>
      </c>
      <c r="V16" s="58">
        <v>2</v>
      </c>
      <c r="W16" s="59">
        <f t="shared" si="10"/>
        <v>6</v>
      </c>
      <c r="X16" s="60">
        <f t="shared" si="11"/>
        <v>3</v>
      </c>
      <c r="Y16" s="64">
        <v>3</v>
      </c>
      <c r="Z16" s="23">
        <v>3</v>
      </c>
      <c r="AA16" s="48">
        <v>4</v>
      </c>
      <c r="AB16" s="23">
        <f t="shared" si="12"/>
        <v>12</v>
      </c>
      <c r="AC16" s="94">
        <f t="shared" si="13"/>
        <v>3</v>
      </c>
    </row>
    <row r="17" spans="1:29" ht="15" x14ac:dyDescent="0.2">
      <c r="A17" s="18">
        <v>16</v>
      </c>
      <c r="B17" s="47" t="s">
        <v>54</v>
      </c>
      <c r="C17" s="15">
        <v>18653.759999999998</v>
      </c>
      <c r="D17" s="39">
        <v>10650.651</v>
      </c>
      <c r="E17" s="39">
        <v>10344.918</v>
      </c>
      <c r="F17" s="39">
        <v>0</v>
      </c>
      <c r="G17" s="39">
        <v>56</v>
      </c>
      <c r="H17" s="40">
        <f t="shared" si="0"/>
        <v>0.55457548504966292</v>
      </c>
      <c r="I17" s="41">
        <f t="shared" si="1"/>
        <v>4</v>
      </c>
      <c r="J17" s="15">
        <v>8396.1200000000008</v>
      </c>
      <c r="K17" s="40">
        <f t="shared" si="2"/>
        <v>0.81161783979341362</v>
      </c>
      <c r="L17" s="53">
        <f t="shared" si="3"/>
        <v>4</v>
      </c>
      <c r="M17" s="15">
        <f>264.115+J17</f>
        <v>8660.2350000000006</v>
      </c>
      <c r="N17" s="40">
        <f t="shared" si="4"/>
        <v>0.83714873332007089</v>
      </c>
      <c r="O17" s="41">
        <f t="shared" si="5"/>
        <v>4</v>
      </c>
      <c r="P17" s="15">
        <v>9652.125</v>
      </c>
      <c r="Q17" s="39">
        <v>1955.4159999999999</v>
      </c>
      <c r="R17" s="40">
        <f t="shared" si="6"/>
        <v>0.18902189461530772</v>
      </c>
      <c r="S17" s="41">
        <f t="shared" si="7"/>
        <v>3</v>
      </c>
      <c r="T17" s="57">
        <f t="shared" si="8"/>
        <v>3.75</v>
      </c>
      <c r="U17" s="60">
        <f t="shared" si="9"/>
        <v>4</v>
      </c>
      <c r="V17" s="58">
        <v>3</v>
      </c>
      <c r="W17" s="59">
        <f t="shared" si="10"/>
        <v>12</v>
      </c>
      <c r="X17" s="60">
        <f t="shared" si="11"/>
        <v>4</v>
      </c>
      <c r="Y17" s="65">
        <v>4</v>
      </c>
      <c r="Z17" s="23">
        <v>3</v>
      </c>
      <c r="AA17" s="48">
        <v>4</v>
      </c>
      <c r="AB17" s="23">
        <f t="shared" si="12"/>
        <v>12</v>
      </c>
      <c r="AC17" s="94">
        <f t="shared" si="13"/>
        <v>3</v>
      </c>
    </row>
    <row r="18" spans="1:29" ht="15" x14ac:dyDescent="0.2">
      <c r="A18" s="18">
        <v>17</v>
      </c>
      <c r="B18" s="47" t="s">
        <v>55</v>
      </c>
      <c r="C18" s="15">
        <v>10455.64</v>
      </c>
      <c r="D18" s="39">
        <v>2571.8090000000002</v>
      </c>
      <c r="E18" s="39">
        <v>2501.6559999999999</v>
      </c>
      <c r="F18" s="39">
        <v>5.4290000000000003</v>
      </c>
      <c r="G18" s="39">
        <v>71</v>
      </c>
      <c r="H18" s="40">
        <f t="shared" si="0"/>
        <v>0.23926378490460651</v>
      </c>
      <c r="I18" s="41">
        <f t="shared" si="1"/>
        <v>3</v>
      </c>
      <c r="J18" s="15">
        <v>1181.454</v>
      </c>
      <c r="K18" s="40">
        <f t="shared" si="2"/>
        <v>0.47226876916730359</v>
      </c>
      <c r="L18" s="53">
        <f t="shared" si="3"/>
        <v>4</v>
      </c>
      <c r="M18" s="15">
        <f>285.588+J18</f>
        <v>1467.0419999999999</v>
      </c>
      <c r="N18" s="40">
        <f t="shared" si="4"/>
        <v>0.58642834986105197</v>
      </c>
      <c r="O18" s="41">
        <f t="shared" si="5"/>
        <v>4</v>
      </c>
      <c r="P18" s="15">
        <v>1725.251</v>
      </c>
      <c r="Q18" s="39">
        <v>27.994</v>
      </c>
      <c r="R18" s="40">
        <f t="shared" si="6"/>
        <v>1.1190187619720697E-2</v>
      </c>
      <c r="S18" s="41">
        <f t="shared" si="7"/>
        <v>1</v>
      </c>
      <c r="T18" s="57">
        <f t="shared" si="8"/>
        <v>3</v>
      </c>
      <c r="U18" s="60">
        <f t="shared" si="9"/>
        <v>3</v>
      </c>
      <c r="V18" s="58">
        <v>3</v>
      </c>
      <c r="W18" s="59">
        <f t="shared" si="10"/>
        <v>9</v>
      </c>
      <c r="X18" s="60">
        <f t="shared" si="11"/>
        <v>3</v>
      </c>
      <c r="Y18" s="64">
        <v>3</v>
      </c>
      <c r="Z18" s="23">
        <v>3</v>
      </c>
      <c r="AA18" s="48">
        <v>4</v>
      </c>
      <c r="AB18" s="23">
        <f t="shared" si="12"/>
        <v>12</v>
      </c>
      <c r="AC18" s="94">
        <f t="shared" si="13"/>
        <v>3</v>
      </c>
    </row>
    <row r="19" spans="1:29" ht="15" x14ac:dyDescent="0.2">
      <c r="A19" s="18">
        <v>18</v>
      </c>
      <c r="B19" s="47" t="s">
        <v>56</v>
      </c>
      <c r="C19" s="15">
        <v>6666.25</v>
      </c>
      <c r="D19" s="39">
        <v>1637.2809999999999</v>
      </c>
      <c r="E19" s="39">
        <v>1613.3489999999999</v>
      </c>
      <c r="F19" s="39">
        <v>0</v>
      </c>
      <c r="G19" s="39">
        <v>67</v>
      </c>
      <c r="H19" s="40">
        <f t="shared" si="0"/>
        <v>0.24201747609225577</v>
      </c>
      <c r="I19" s="41">
        <f t="shared" si="1"/>
        <v>3</v>
      </c>
      <c r="J19" s="15">
        <v>709.11699999999996</v>
      </c>
      <c r="K19" s="40">
        <f t="shared" si="2"/>
        <v>0.43953106240497253</v>
      </c>
      <c r="L19" s="53">
        <f t="shared" si="3"/>
        <v>4</v>
      </c>
      <c r="M19" s="15">
        <f>286.714+J19</f>
        <v>995.8309999999999</v>
      </c>
      <c r="N19" s="40">
        <f t="shared" si="4"/>
        <v>0.6172446259302854</v>
      </c>
      <c r="O19" s="41">
        <f t="shared" si="5"/>
        <v>4</v>
      </c>
      <c r="P19" s="15">
        <v>1032.5530000000001</v>
      </c>
      <c r="Q19" s="39">
        <v>125.41800000000001</v>
      </c>
      <c r="R19" s="40">
        <f t="shared" si="6"/>
        <v>7.7737674861421802E-2</v>
      </c>
      <c r="S19" s="41">
        <f t="shared" si="7"/>
        <v>2</v>
      </c>
      <c r="T19" s="57">
        <f t="shared" si="8"/>
        <v>3.25</v>
      </c>
      <c r="U19" s="60">
        <f t="shared" si="9"/>
        <v>3</v>
      </c>
      <c r="V19" s="58">
        <v>2</v>
      </c>
      <c r="W19" s="59">
        <f t="shared" si="10"/>
        <v>6</v>
      </c>
      <c r="X19" s="60">
        <f t="shared" si="11"/>
        <v>3</v>
      </c>
      <c r="Y19" s="64">
        <v>3</v>
      </c>
      <c r="Z19" s="23">
        <v>3</v>
      </c>
      <c r="AA19" s="48">
        <v>4</v>
      </c>
      <c r="AB19" s="23">
        <f t="shared" si="12"/>
        <v>12</v>
      </c>
      <c r="AC19" s="94">
        <f t="shared" si="13"/>
        <v>3</v>
      </c>
    </row>
    <row r="20" spans="1:29" ht="15" x14ac:dyDescent="0.2">
      <c r="A20" s="18">
        <v>19</v>
      </c>
      <c r="B20" s="47" t="s">
        <v>57</v>
      </c>
      <c r="C20" s="15">
        <v>12234.14</v>
      </c>
      <c r="D20" s="39">
        <v>1151.0070000000001</v>
      </c>
      <c r="E20" s="39">
        <v>1054.9580000000001</v>
      </c>
      <c r="F20" s="39">
        <v>21.718</v>
      </c>
      <c r="G20" s="50">
        <v>70</v>
      </c>
      <c r="H20" s="40">
        <f t="shared" si="0"/>
        <v>8.6230662719243054E-2</v>
      </c>
      <c r="I20" s="41">
        <f t="shared" si="1"/>
        <v>1</v>
      </c>
      <c r="J20" s="15">
        <v>18.145</v>
      </c>
      <c r="K20" s="40">
        <f t="shared" si="2"/>
        <v>1.7199736861562259E-2</v>
      </c>
      <c r="L20" s="53">
        <f t="shared" si="3"/>
        <v>1</v>
      </c>
      <c r="M20" s="15">
        <f>170.236+J20</f>
        <v>188.381</v>
      </c>
      <c r="N20" s="40">
        <f t="shared" si="4"/>
        <v>0.17856729841377569</v>
      </c>
      <c r="O20" s="41">
        <f t="shared" si="5"/>
        <v>2</v>
      </c>
      <c r="P20" s="15">
        <v>490.83600000000001</v>
      </c>
      <c r="Q20" s="39">
        <v>175.952</v>
      </c>
      <c r="R20" s="40">
        <f t="shared" si="6"/>
        <v>0.16678578673274194</v>
      </c>
      <c r="S20" s="41">
        <f t="shared" si="7"/>
        <v>3</v>
      </c>
      <c r="T20" s="57">
        <f t="shared" si="8"/>
        <v>1.75</v>
      </c>
      <c r="U20" s="60">
        <f t="shared" si="9"/>
        <v>2</v>
      </c>
      <c r="V20" s="58">
        <v>1</v>
      </c>
      <c r="W20" s="59">
        <f t="shared" si="10"/>
        <v>2</v>
      </c>
      <c r="X20" s="60">
        <f t="shared" si="11"/>
        <v>1</v>
      </c>
      <c r="Y20" s="62">
        <v>1</v>
      </c>
      <c r="Z20" s="23">
        <v>3</v>
      </c>
      <c r="AA20" s="48">
        <v>4</v>
      </c>
      <c r="AB20" s="23">
        <f t="shared" si="12"/>
        <v>12</v>
      </c>
      <c r="AC20" s="94">
        <f t="shared" si="13"/>
        <v>3</v>
      </c>
    </row>
    <row r="21" spans="1:29" ht="15" x14ac:dyDescent="0.2">
      <c r="A21" s="18">
        <v>20</v>
      </c>
      <c r="B21" s="47" t="s">
        <v>58</v>
      </c>
      <c r="C21" s="15">
        <v>5787.57</v>
      </c>
      <c r="D21" s="39">
        <v>2341.5990000000002</v>
      </c>
      <c r="E21" s="39">
        <v>2308.527</v>
      </c>
      <c r="F21" s="39">
        <v>12.855</v>
      </c>
      <c r="G21" s="39">
        <v>72</v>
      </c>
      <c r="H21" s="40">
        <f t="shared" si="0"/>
        <v>0.39887673064861423</v>
      </c>
      <c r="I21" s="41">
        <f t="shared" si="1"/>
        <v>4</v>
      </c>
      <c r="J21" s="15">
        <v>1525.846</v>
      </c>
      <c r="K21" s="40">
        <f t="shared" si="2"/>
        <v>0.66096086378890084</v>
      </c>
      <c r="L21" s="53">
        <f t="shared" si="3"/>
        <v>4</v>
      </c>
      <c r="M21" s="15">
        <f>500.106+J21</f>
        <v>2025.952</v>
      </c>
      <c r="N21" s="40">
        <f t="shared" si="4"/>
        <v>0.87759510718306522</v>
      </c>
      <c r="O21" s="41">
        <f t="shared" si="5"/>
        <v>4</v>
      </c>
      <c r="P21" s="15">
        <v>1890.0609999999999</v>
      </c>
      <c r="Q21" s="39">
        <v>507.31599999999997</v>
      </c>
      <c r="R21" s="40">
        <f t="shared" si="6"/>
        <v>0.21975744706472999</v>
      </c>
      <c r="S21" s="41">
        <f t="shared" si="7"/>
        <v>3</v>
      </c>
      <c r="T21" s="57">
        <f t="shared" si="8"/>
        <v>3.75</v>
      </c>
      <c r="U21" s="60">
        <f t="shared" si="9"/>
        <v>4</v>
      </c>
      <c r="V21" s="58">
        <v>3</v>
      </c>
      <c r="W21" s="59">
        <f t="shared" si="10"/>
        <v>12</v>
      </c>
      <c r="X21" s="60">
        <f t="shared" si="11"/>
        <v>4</v>
      </c>
      <c r="Y21" s="65">
        <v>4</v>
      </c>
      <c r="Z21" s="23">
        <v>3</v>
      </c>
      <c r="AA21" s="48">
        <v>4</v>
      </c>
      <c r="AB21" s="23">
        <f t="shared" si="12"/>
        <v>12</v>
      </c>
      <c r="AC21" s="94">
        <f t="shared" si="13"/>
        <v>3</v>
      </c>
    </row>
    <row r="22" spans="1:29" ht="15" x14ac:dyDescent="0.2">
      <c r="A22" s="18">
        <v>21</v>
      </c>
      <c r="B22" s="47" t="s">
        <v>59</v>
      </c>
      <c r="C22" s="15">
        <v>11054.75</v>
      </c>
      <c r="D22" s="39">
        <v>4153.817</v>
      </c>
      <c r="E22" s="39">
        <v>4060.7379999999998</v>
      </c>
      <c r="F22" s="39">
        <v>0</v>
      </c>
      <c r="G22" s="39">
        <v>72</v>
      </c>
      <c r="H22" s="40">
        <f t="shared" si="0"/>
        <v>0.36732969990275671</v>
      </c>
      <c r="I22" s="41">
        <f t="shared" si="1"/>
        <v>4</v>
      </c>
      <c r="J22" s="15">
        <v>3007.3589999999999</v>
      </c>
      <c r="K22" s="40">
        <f t="shared" si="2"/>
        <v>0.74059419740943644</v>
      </c>
      <c r="L22" s="53">
        <f t="shared" si="3"/>
        <v>4</v>
      </c>
      <c r="M22" s="15">
        <f>186.322+J22</f>
        <v>3193.681</v>
      </c>
      <c r="N22" s="40">
        <f t="shared" si="4"/>
        <v>0.78647797518579143</v>
      </c>
      <c r="O22" s="41">
        <f t="shared" si="5"/>
        <v>4</v>
      </c>
      <c r="P22" s="15">
        <v>3660.2280000000001</v>
      </c>
      <c r="Q22" s="39">
        <v>659.01300000000003</v>
      </c>
      <c r="R22" s="40">
        <f t="shared" si="6"/>
        <v>0.16228897308814311</v>
      </c>
      <c r="S22" s="41">
        <f t="shared" si="7"/>
        <v>3</v>
      </c>
      <c r="T22" s="57">
        <f t="shared" si="8"/>
        <v>3.75</v>
      </c>
      <c r="U22" s="60">
        <f t="shared" si="9"/>
        <v>4</v>
      </c>
      <c r="V22" s="58">
        <v>3</v>
      </c>
      <c r="W22" s="59">
        <f t="shared" si="10"/>
        <v>12</v>
      </c>
      <c r="X22" s="60">
        <f t="shared" si="11"/>
        <v>4</v>
      </c>
      <c r="Y22" s="65">
        <v>4</v>
      </c>
      <c r="Z22" s="23">
        <v>3</v>
      </c>
      <c r="AA22" s="48">
        <v>4</v>
      </c>
      <c r="AB22" s="23">
        <f t="shared" si="12"/>
        <v>12</v>
      </c>
      <c r="AC22" s="94">
        <f t="shared" si="13"/>
        <v>3</v>
      </c>
    </row>
    <row r="23" spans="1:29" ht="15" x14ac:dyDescent="0.2">
      <c r="A23" s="18">
        <v>22</v>
      </c>
      <c r="B23" s="47" t="s">
        <v>60</v>
      </c>
      <c r="C23" s="15">
        <v>10929.79</v>
      </c>
      <c r="D23" s="39">
        <f>1984.319+357.178+1342.102</f>
        <v>3683.5990000000002</v>
      </c>
      <c r="E23" s="39">
        <f>1935.564+357.178+1217.851</f>
        <v>3510.5930000000003</v>
      </c>
      <c r="F23" s="39">
        <v>432.149</v>
      </c>
      <c r="G23" s="39">
        <v>71</v>
      </c>
      <c r="H23" s="40">
        <f t="shared" si="0"/>
        <v>0.32119491774315884</v>
      </c>
      <c r="I23" s="41">
        <f t="shared" si="1"/>
        <v>4</v>
      </c>
      <c r="J23" s="15">
        <f>1130.688+1034.969</f>
        <v>2165.6570000000002</v>
      </c>
      <c r="K23" s="40">
        <f t="shared" si="2"/>
        <v>0.61689207492865161</v>
      </c>
      <c r="L23" s="53">
        <f t="shared" si="3"/>
        <v>4</v>
      </c>
      <c r="M23" s="15">
        <f>203.423+J23+102.523</f>
        <v>2471.6030000000001</v>
      </c>
      <c r="N23" s="40">
        <f t="shared" si="4"/>
        <v>0.7040414539651848</v>
      </c>
      <c r="O23" s="41">
        <f t="shared" si="5"/>
        <v>4</v>
      </c>
      <c r="P23" s="15">
        <v>1436.336</v>
      </c>
      <c r="Q23" s="39">
        <v>289.625</v>
      </c>
      <c r="R23" s="40">
        <f t="shared" si="6"/>
        <v>8.2500306928202718E-2</v>
      </c>
      <c r="S23" s="41">
        <f t="shared" si="7"/>
        <v>2</v>
      </c>
      <c r="T23" s="57">
        <f t="shared" si="8"/>
        <v>3.5</v>
      </c>
      <c r="U23" s="60">
        <f t="shared" si="9"/>
        <v>4</v>
      </c>
      <c r="V23" s="58">
        <v>4</v>
      </c>
      <c r="W23" s="59">
        <f t="shared" si="10"/>
        <v>16</v>
      </c>
      <c r="X23" s="60">
        <f t="shared" si="11"/>
        <v>4</v>
      </c>
      <c r="Y23" s="65">
        <v>4</v>
      </c>
      <c r="Z23" s="23">
        <v>3</v>
      </c>
      <c r="AA23" s="48">
        <v>4</v>
      </c>
      <c r="AB23" s="23">
        <f t="shared" si="12"/>
        <v>12</v>
      </c>
      <c r="AC23" s="94">
        <f t="shared" si="13"/>
        <v>3</v>
      </c>
    </row>
    <row r="24" spans="1:29" ht="15" x14ac:dyDescent="0.2">
      <c r="A24" s="18">
        <v>23</v>
      </c>
      <c r="B24" s="47" t="s">
        <v>61</v>
      </c>
      <c r="C24" s="15">
        <v>8797.7000000000007</v>
      </c>
      <c r="D24" s="39">
        <v>3556.8110000000001</v>
      </c>
      <c r="E24" s="39">
        <v>3448.5309999999999</v>
      </c>
      <c r="F24" s="39">
        <v>6.1180000000000003</v>
      </c>
      <c r="G24" s="39">
        <v>72</v>
      </c>
      <c r="H24" s="40">
        <f t="shared" si="0"/>
        <v>0.39198097229957823</v>
      </c>
      <c r="I24" s="41">
        <f t="shared" si="1"/>
        <v>4</v>
      </c>
      <c r="J24" s="15">
        <v>2232.8560000000002</v>
      </c>
      <c r="K24" s="40">
        <f t="shared" si="2"/>
        <v>0.6474803329301666</v>
      </c>
      <c r="L24" s="53">
        <f t="shared" si="3"/>
        <v>4</v>
      </c>
      <c r="M24" s="15">
        <f>432.14+J24</f>
        <v>2664.9960000000001</v>
      </c>
      <c r="N24" s="40">
        <f t="shared" si="4"/>
        <v>0.77279166114499187</v>
      </c>
      <c r="O24" s="41">
        <f t="shared" si="5"/>
        <v>4</v>
      </c>
      <c r="P24" s="15">
        <v>2788.0230000000001</v>
      </c>
      <c r="Q24" s="39">
        <v>194.31899999999999</v>
      </c>
      <c r="R24" s="40">
        <f t="shared" si="6"/>
        <v>5.6348340786265223E-2</v>
      </c>
      <c r="S24" s="41">
        <f t="shared" si="7"/>
        <v>2</v>
      </c>
      <c r="T24" s="57">
        <f t="shared" si="8"/>
        <v>3.5</v>
      </c>
      <c r="U24" s="60">
        <f t="shared" si="9"/>
        <v>4</v>
      </c>
      <c r="V24" s="58">
        <v>4</v>
      </c>
      <c r="W24" s="59">
        <f t="shared" si="10"/>
        <v>16</v>
      </c>
      <c r="X24" s="60">
        <f t="shared" si="11"/>
        <v>4</v>
      </c>
      <c r="Y24" s="65">
        <v>4</v>
      </c>
      <c r="Z24" s="23">
        <v>3</v>
      </c>
      <c r="AA24" s="48">
        <v>4</v>
      </c>
      <c r="AB24" s="23">
        <f t="shared" si="12"/>
        <v>12</v>
      </c>
      <c r="AC24" s="94">
        <f t="shared" si="13"/>
        <v>3</v>
      </c>
    </row>
    <row r="25" spans="1:29" ht="15" x14ac:dyDescent="0.2">
      <c r="A25" s="18">
        <v>24</v>
      </c>
      <c r="B25" s="47" t="s">
        <v>62</v>
      </c>
      <c r="C25" s="15">
        <v>8600.08</v>
      </c>
      <c r="D25" s="39">
        <v>2923.17</v>
      </c>
      <c r="E25" s="39">
        <v>2876.317</v>
      </c>
      <c r="F25" s="39">
        <v>0</v>
      </c>
      <c r="G25" s="39">
        <v>70</v>
      </c>
      <c r="H25" s="40">
        <f t="shared" si="0"/>
        <v>0.33445235393159134</v>
      </c>
      <c r="I25" s="41">
        <f t="shared" si="1"/>
        <v>4</v>
      </c>
      <c r="J25" s="15">
        <v>950.33</v>
      </c>
      <c r="K25" s="40">
        <f t="shared" si="2"/>
        <v>0.33039821410505171</v>
      </c>
      <c r="L25" s="53">
        <f t="shared" si="3"/>
        <v>3</v>
      </c>
      <c r="M25" s="15">
        <f>429.393+J25</f>
        <v>1379.723</v>
      </c>
      <c r="N25" s="40">
        <f t="shared" si="4"/>
        <v>0.47968391522909332</v>
      </c>
      <c r="O25" s="41">
        <f t="shared" si="5"/>
        <v>4</v>
      </c>
      <c r="P25" s="15">
        <v>1816.8920000000001</v>
      </c>
      <c r="Q25" s="39">
        <v>769.34</v>
      </c>
      <c r="R25" s="40">
        <f t="shared" si="6"/>
        <v>0.26747399539063327</v>
      </c>
      <c r="S25" s="41">
        <f t="shared" si="7"/>
        <v>4</v>
      </c>
      <c r="T25" s="57">
        <f t="shared" si="8"/>
        <v>3.75</v>
      </c>
      <c r="U25" s="60">
        <f t="shared" si="9"/>
        <v>4</v>
      </c>
      <c r="V25" s="58">
        <v>2</v>
      </c>
      <c r="W25" s="59">
        <f t="shared" si="10"/>
        <v>8</v>
      </c>
      <c r="X25" s="60">
        <f t="shared" si="11"/>
        <v>3</v>
      </c>
      <c r="Y25" s="64">
        <v>3</v>
      </c>
      <c r="Z25" s="23">
        <v>3</v>
      </c>
      <c r="AA25" s="48">
        <v>4</v>
      </c>
      <c r="AB25" s="23">
        <f t="shared" si="12"/>
        <v>12</v>
      </c>
      <c r="AC25" s="94">
        <f t="shared" si="13"/>
        <v>3</v>
      </c>
    </row>
    <row r="26" spans="1:29" ht="15.75" customHeight="1" x14ac:dyDescent="0.2">
      <c r="A26" s="18">
        <v>25</v>
      </c>
      <c r="B26" s="47" t="s">
        <v>63</v>
      </c>
      <c r="C26" s="15">
        <v>3738.95</v>
      </c>
      <c r="D26" s="39">
        <f>2354.048+134.417</f>
        <v>2488.4649999999997</v>
      </c>
      <c r="E26" s="39">
        <f>2274.783+132.795</f>
        <v>2407.578</v>
      </c>
      <c r="F26" s="39">
        <v>18.253</v>
      </c>
      <c r="G26" s="39">
        <v>65</v>
      </c>
      <c r="H26" s="40">
        <f t="shared" si="0"/>
        <v>0.64391821233233937</v>
      </c>
      <c r="I26" s="41">
        <f t="shared" si="1"/>
        <v>4</v>
      </c>
      <c r="J26" s="15">
        <f>1642+132.495</f>
        <v>1774.4949999999999</v>
      </c>
      <c r="K26" s="40">
        <f t="shared" si="2"/>
        <v>0.73704569488506699</v>
      </c>
      <c r="L26" s="53">
        <f t="shared" si="3"/>
        <v>4</v>
      </c>
      <c r="M26" s="15">
        <f>244.792+J26</f>
        <v>2019.2869999999998</v>
      </c>
      <c r="N26" s="40">
        <f t="shared" si="4"/>
        <v>0.83872132076302397</v>
      </c>
      <c r="O26" s="41">
        <f t="shared" si="5"/>
        <v>4</v>
      </c>
      <c r="P26" s="15">
        <v>2021.9949999999999</v>
      </c>
      <c r="Q26" s="39">
        <v>103.97</v>
      </c>
      <c r="R26" s="40">
        <f t="shared" si="6"/>
        <v>4.3184478342965418E-2</v>
      </c>
      <c r="S26" s="41">
        <f t="shared" si="7"/>
        <v>1</v>
      </c>
      <c r="T26" s="57">
        <f t="shared" si="8"/>
        <v>3.25</v>
      </c>
      <c r="U26" s="60">
        <f t="shared" si="9"/>
        <v>3</v>
      </c>
      <c r="V26" s="58">
        <v>4</v>
      </c>
      <c r="W26" s="59">
        <f t="shared" si="10"/>
        <v>12</v>
      </c>
      <c r="X26" s="60">
        <f t="shared" si="11"/>
        <v>4</v>
      </c>
      <c r="Y26" s="65">
        <v>4</v>
      </c>
      <c r="Z26" s="23">
        <v>3</v>
      </c>
      <c r="AA26" s="48">
        <v>4</v>
      </c>
      <c r="AB26" s="23">
        <f t="shared" si="12"/>
        <v>12</v>
      </c>
      <c r="AC26" s="94">
        <f t="shared" si="13"/>
        <v>3</v>
      </c>
    </row>
    <row r="27" spans="1:29" ht="15.75" thickBot="1" x14ac:dyDescent="0.25">
      <c r="A27" s="19">
        <v>26</v>
      </c>
      <c r="B27" s="51" t="s">
        <v>64</v>
      </c>
      <c r="C27" s="44">
        <v>8155.45</v>
      </c>
      <c r="D27" s="52">
        <v>3218.0309999999999</v>
      </c>
      <c r="E27" s="52">
        <v>3163.826</v>
      </c>
      <c r="F27" s="52">
        <v>0</v>
      </c>
      <c r="G27" s="52">
        <v>62</v>
      </c>
      <c r="H27" s="45">
        <f t="shared" si="0"/>
        <v>0.38794008914284311</v>
      </c>
      <c r="I27" s="46">
        <f t="shared" si="1"/>
        <v>4</v>
      </c>
      <c r="J27" s="44">
        <v>2280.2869999999998</v>
      </c>
      <c r="K27" s="45">
        <f t="shared" si="2"/>
        <v>0.72073717075464949</v>
      </c>
      <c r="L27" s="54">
        <f t="shared" si="3"/>
        <v>4</v>
      </c>
      <c r="M27" s="44">
        <f>543.956+J27</f>
        <v>2824.2429999999999</v>
      </c>
      <c r="N27" s="45">
        <f t="shared" si="4"/>
        <v>0.8926669797896597</v>
      </c>
      <c r="O27" s="46">
        <f t="shared" si="5"/>
        <v>4</v>
      </c>
      <c r="P27" s="44">
        <v>2568.8589999999999</v>
      </c>
      <c r="Q27" s="52">
        <v>426.37599999999998</v>
      </c>
      <c r="R27" s="45">
        <f t="shared" si="6"/>
        <v>0.13476594477698836</v>
      </c>
      <c r="S27" s="46">
        <f t="shared" si="7"/>
        <v>2</v>
      </c>
      <c r="T27" s="57">
        <f t="shared" si="8"/>
        <v>3.5</v>
      </c>
      <c r="U27" s="61">
        <f t="shared" si="9"/>
        <v>4</v>
      </c>
      <c r="V27" s="58">
        <v>3</v>
      </c>
      <c r="W27" s="59">
        <f t="shared" si="10"/>
        <v>12</v>
      </c>
      <c r="X27" s="61">
        <f t="shared" si="11"/>
        <v>4</v>
      </c>
      <c r="Y27" s="66">
        <v>4</v>
      </c>
      <c r="Z27" s="23">
        <v>3</v>
      </c>
      <c r="AA27" s="48">
        <v>4</v>
      </c>
      <c r="AB27" s="23">
        <f t="shared" si="12"/>
        <v>12</v>
      </c>
      <c r="AC27" s="94">
        <f t="shared" si="13"/>
        <v>3</v>
      </c>
    </row>
    <row r="29" spans="1:29" x14ac:dyDescent="0.2">
      <c r="I29" s="27">
        <f t="shared" ref="I29:S29" si="14">AVERAGEA(I2:I27)</f>
        <v>3.3076923076923075</v>
      </c>
      <c r="J29" s="27"/>
      <c r="K29" s="27"/>
      <c r="L29" s="27">
        <f t="shared" si="14"/>
        <v>3.3461538461538463</v>
      </c>
      <c r="M29" s="27"/>
      <c r="N29" s="27"/>
      <c r="O29" s="93">
        <f t="shared" si="14"/>
        <v>3.7307692307692308</v>
      </c>
      <c r="P29" s="27"/>
      <c r="Q29" s="27"/>
      <c r="R29" s="27"/>
      <c r="S29" s="27">
        <f t="shared" si="14"/>
        <v>2.7307692307692308</v>
      </c>
      <c r="T29" s="27"/>
    </row>
  </sheetData>
  <sortState xmlns:xlrd2="http://schemas.microsoft.com/office/spreadsheetml/2017/richdata2" ref="A2:AC27">
    <sortCondition ref="A2:A2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28"/>
  <sheetViews>
    <sheetView topLeftCell="AD1" zoomScale="70" zoomScaleNormal="70" workbookViewId="0">
      <selection activeCell="AL37" sqref="AL37"/>
    </sheetView>
  </sheetViews>
  <sheetFormatPr defaultColWidth="8.7109375" defaultRowHeight="15" x14ac:dyDescent="0.25"/>
  <cols>
    <col min="1" max="1" width="8.140625" style="2" customWidth="1"/>
    <col min="2" max="2" width="25.5703125" style="2" customWidth="1"/>
    <col min="3" max="3" width="15.42578125" style="2" customWidth="1"/>
    <col min="4" max="4" width="15.5703125" style="6" customWidth="1"/>
    <col min="5" max="6" width="14.140625" style="6" customWidth="1"/>
    <col min="7" max="7" width="14.7109375" style="2" customWidth="1"/>
    <col min="8" max="8" width="14.140625" style="2" customWidth="1"/>
    <col min="9" max="9" width="15.7109375" style="2" customWidth="1"/>
    <col min="10" max="12" width="14.7109375" style="2" customWidth="1"/>
    <col min="13" max="15" width="15.140625" style="2" customWidth="1"/>
    <col min="16" max="16" width="17.28515625" style="2" customWidth="1"/>
    <col min="17" max="17" width="14.42578125" customWidth="1"/>
    <col min="18" max="18" width="14" style="2" customWidth="1"/>
    <col min="19" max="19" width="12.28515625" style="2" customWidth="1"/>
    <col min="20" max="20" width="14.42578125" customWidth="1"/>
    <col min="21" max="21" width="13.85546875" style="3" customWidth="1"/>
    <col min="22" max="22" width="21.7109375" style="2" customWidth="1"/>
    <col min="23" max="23" width="14.7109375" style="2" customWidth="1"/>
    <col min="24" max="24" width="14.42578125" style="3" customWidth="1"/>
    <col min="25" max="25" width="19.5703125" style="2" customWidth="1"/>
    <col min="26" max="26" width="17.7109375" style="2" customWidth="1"/>
    <col min="27" max="27" width="15.5703125" style="3" customWidth="1"/>
    <col min="28" max="28" width="19.140625" style="2" customWidth="1"/>
    <col min="29" max="29" width="16.5703125" style="2" customWidth="1"/>
    <col min="30" max="30" width="20.85546875" style="2" customWidth="1"/>
    <col min="31" max="31" width="17.5703125" style="3" customWidth="1"/>
    <col min="32" max="32" width="15.7109375" style="3" customWidth="1"/>
    <col min="33" max="33" width="15.42578125" style="1" customWidth="1"/>
    <col min="34" max="34" width="14.5703125" style="1" customWidth="1"/>
    <col min="35" max="35" width="15.140625" style="1" customWidth="1"/>
    <col min="36" max="36" width="16" style="1" customWidth="1"/>
    <col min="37" max="37" width="15.140625" style="1" customWidth="1"/>
    <col min="38" max="38" width="14.5703125" style="1" customWidth="1"/>
    <col min="39" max="39" width="18" style="1" customWidth="1"/>
    <col min="40" max="40" width="16.28515625" style="1" customWidth="1"/>
    <col min="41" max="41" width="14.42578125" style="3" customWidth="1"/>
    <col min="42" max="16384" width="8.7109375" style="2"/>
  </cols>
  <sheetData>
    <row r="1" spans="1:41" ht="127.5" x14ac:dyDescent="0.2">
      <c r="A1" s="32" t="s">
        <v>0</v>
      </c>
      <c r="B1" s="33" t="s">
        <v>1</v>
      </c>
      <c r="C1" s="12" t="s">
        <v>2</v>
      </c>
      <c r="D1" s="13" t="s">
        <v>3</v>
      </c>
      <c r="E1" s="13" t="s">
        <v>4</v>
      </c>
      <c r="F1" s="13" t="s">
        <v>66</v>
      </c>
      <c r="G1" s="13" t="s">
        <v>6</v>
      </c>
      <c r="H1" s="13" t="s">
        <v>7</v>
      </c>
      <c r="I1" s="14" t="s">
        <v>8</v>
      </c>
      <c r="J1" s="12" t="s">
        <v>67</v>
      </c>
      <c r="K1" s="13" t="s">
        <v>10</v>
      </c>
      <c r="L1" s="14" t="s">
        <v>11</v>
      </c>
      <c r="M1" s="12" t="s">
        <v>12</v>
      </c>
      <c r="N1" s="13" t="s">
        <v>13</v>
      </c>
      <c r="O1" s="14" t="s">
        <v>14</v>
      </c>
      <c r="P1" s="12" t="s">
        <v>82</v>
      </c>
      <c r="Q1" s="13" t="s">
        <v>83</v>
      </c>
      <c r="R1" s="13" t="s">
        <v>81</v>
      </c>
      <c r="S1" s="13" t="s">
        <v>86</v>
      </c>
      <c r="T1" s="13" t="s">
        <v>87</v>
      </c>
      <c r="U1" s="14" t="s">
        <v>85</v>
      </c>
      <c r="V1" s="12" t="s">
        <v>88</v>
      </c>
      <c r="W1" s="13" t="s">
        <v>89</v>
      </c>
      <c r="X1" s="14" t="s">
        <v>21</v>
      </c>
      <c r="Y1" s="12" t="s">
        <v>22</v>
      </c>
      <c r="Z1" s="13" t="s">
        <v>23</v>
      </c>
      <c r="AA1" s="14" t="s">
        <v>24</v>
      </c>
      <c r="AB1" s="20" t="s">
        <v>25</v>
      </c>
      <c r="AC1" s="13" t="s">
        <v>26</v>
      </c>
      <c r="AD1" s="13" t="s">
        <v>74</v>
      </c>
      <c r="AE1" s="14" t="s">
        <v>90</v>
      </c>
      <c r="AF1" s="68" t="s">
        <v>29</v>
      </c>
      <c r="AG1" s="22" t="s">
        <v>30</v>
      </c>
      <c r="AH1" s="11" t="s">
        <v>31</v>
      </c>
      <c r="AI1" s="24" t="s">
        <v>32</v>
      </c>
      <c r="AJ1" s="22" t="s">
        <v>33</v>
      </c>
      <c r="AK1" s="22" t="s">
        <v>34</v>
      </c>
      <c r="AL1" s="10" t="s">
        <v>35</v>
      </c>
      <c r="AM1" s="10" t="s">
        <v>36</v>
      </c>
      <c r="AN1" s="10" t="s">
        <v>37</v>
      </c>
      <c r="AO1" s="10" t="s">
        <v>38</v>
      </c>
    </row>
    <row r="2" spans="1:41" x14ac:dyDescent="0.2">
      <c r="A2" s="34">
        <v>1</v>
      </c>
      <c r="B2" s="47" t="s">
        <v>39</v>
      </c>
      <c r="C2" s="15">
        <v>24016.080000000002</v>
      </c>
      <c r="D2" s="39">
        <v>6385.7330000000002</v>
      </c>
      <c r="E2" s="39">
        <v>6168.7169999999996</v>
      </c>
      <c r="F2" s="39">
        <v>36.640999999999998</v>
      </c>
      <c r="G2" s="39">
        <v>67</v>
      </c>
      <c r="H2" s="40">
        <f t="shared" ref="H2:H27" si="0">E2/C2</f>
        <v>0.25685778028720752</v>
      </c>
      <c r="I2" s="41">
        <f t="shared" ref="I2:I27" si="1">IF(H2&lt;10%,1,IF(H2&lt;20%,2,IF(H2&lt;30%,3,4)))</f>
        <v>3</v>
      </c>
      <c r="J2" s="15">
        <f>1687.589+12.365+3.022+1.171</f>
        <v>1704.1469999999999</v>
      </c>
      <c r="K2" s="40">
        <f t="shared" ref="K2:K27" si="2">J2/E2</f>
        <v>0.27625631067205708</v>
      </c>
      <c r="L2" s="41">
        <f t="shared" ref="L2:L27" si="3">IF(K2&lt;5%,1,IF(K2&lt;15%,2,IF(K2&lt;25%,3,4)))</f>
        <v>4</v>
      </c>
      <c r="M2" s="15">
        <f>906.724+13.734</f>
        <v>920.45800000000008</v>
      </c>
      <c r="N2" s="40">
        <f t="shared" ref="N2:N27" si="4">M2/E2</f>
        <v>0.14921384787144557</v>
      </c>
      <c r="O2" s="53">
        <f t="shared" ref="O2:O27" si="5">IF(P2&lt;5%,1,IF(P2&lt;20%,2,IF(P2&lt;40%,3,4)))</f>
        <v>4</v>
      </c>
      <c r="P2" s="15">
        <v>1396.6389999999999</v>
      </c>
      <c r="Q2" s="70">
        <f t="shared" ref="Q2:Q27" si="6">P2/E2</f>
        <v>0.22640672282421126</v>
      </c>
      <c r="R2" s="39">
        <f>1463.78+M2</f>
        <v>2384.2380000000003</v>
      </c>
      <c r="S2" s="40">
        <f t="shared" ref="S2:S12" si="7">R2/E2</f>
        <v>0.38650468160559165</v>
      </c>
      <c r="T2" s="73">
        <f t="shared" ref="T2:T27" si="8">U2*2</f>
        <v>4</v>
      </c>
      <c r="U2" s="41">
        <f t="shared" ref="U2:U27" si="9">IF(S2&lt;10%,1,IF(S2&lt;50%,2,IF(S2&lt;70%,3,IF(S2&lt;99%,4))))</f>
        <v>2</v>
      </c>
      <c r="V2" s="15">
        <f>1794.6+M2</f>
        <v>2715.058</v>
      </c>
      <c r="W2" s="74">
        <f>V2/E2</f>
        <v>0.44013333728877496</v>
      </c>
      <c r="X2" s="41">
        <f t="shared" ref="X2:X27" si="10">IF(W2&lt;10%,1,IF(W2&lt;30%,2,IF(W2&lt;50%,3,IF(W2&gt;50%,4))))</f>
        <v>3</v>
      </c>
      <c r="Y2" s="15">
        <v>2661.2779999999998</v>
      </c>
      <c r="Z2" s="40">
        <f t="shared" ref="Z2:Z27" si="11">Y2/E2</f>
        <v>0.43141515488552967</v>
      </c>
      <c r="AA2" s="41">
        <f t="shared" ref="AA2:AA27" si="12">IF(Z2&lt;10%,1,IF(Z2&lt;50%,2,IF(Z2&lt;80%,3,IF(Z2&gt;80%,4))))</f>
        <v>2</v>
      </c>
      <c r="AB2" s="15">
        <v>2752.9920000000002</v>
      </c>
      <c r="AC2" s="39">
        <v>986.7</v>
      </c>
      <c r="AD2" s="40">
        <f t="shared" ref="AD2:AD27" si="13">AC2/AB2</f>
        <v>0.35841004986574604</v>
      </c>
      <c r="AE2" s="41">
        <f t="shared" ref="AE2:AE27" si="14">IF(AD2&lt;5%,1,IF(AD2&lt;15%,2,IF(AD2&lt;25%,3,IF(AD2&lt;40,4))))</f>
        <v>4</v>
      </c>
      <c r="AF2" s="57">
        <f t="shared" ref="AF2:AF27" si="15">(AE2+AA2+X2+T2+O2+I2+L2)/7</f>
        <v>3.4285714285714284</v>
      </c>
      <c r="AG2" s="60">
        <f>IF(AF2&lt;1.5,1,IF(AF2&lt;2.5,2,IF(AF2&lt;3.7,3,4)))</f>
        <v>3</v>
      </c>
      <c r="AH2" s="58">
        <v>3</v>
      </c>
      <c r="AI2" s="59">
        <f t="shared" ref="AI2:AI27" si="16">AG2*AH2</f>
        <v>9</v>
      </c>
      <c r="AJ2" s="60">
        <f t="shared" ref="AJ2:AJ27" si="17">IF(AI2&lt;3,1,IF(AI2&lt;5,2,IF(AI2&lt;12,3,4)))</f>
        <v>3</v>
      </c>
      <c r="AK2" s="64">
        <v>3</v>
      </c>
      <c r="AL2" s="23">
        <v>2</v>
      </c>
      <c r="AM2" s="110">
        <v>7</v>
      </c>
      <c r="AN2" s="23">
        <f>AL2*AM2</f>
        <v>14</v>
      </c>
      <c r="AO2" s="111">
        <f>IF(AN2&lt;6,1,IF(AN2&lt;12,2,IF(AN2&lt;18,3,4)))</f>
        <v>3</v>
      </c>
    </row>
    <row r="3" spans="1:41" x14ac:dyDescent="0.2">
      <c r="A3" s="34">
        <v>2</v>
      </c>
      <c r="B3" s="47" t="s">
        <v>40</v>
      </c>
      <c r="C3" s="15">
        <v>3218.24</v>
      </c>
      <c r="D3" s="39">
        <v>1530.242</v>
      </c>
      <c r="E3" s="39">
        <v>1499.578</v>
      </c>
      <c r="F3" s="39">
        <v>0.13700000000000001</v>
      </c>
      <c r="G3" s="39">
        <v>71</v>
      </c>
      <c r="H3" s="40">
        <f t="shared" si="0"/>
        <v>0.46596214079745452</v>
      </c>
      <c r="I3" s="41">
        <f t="shared" si="1"/>
        <v>4</v>
      </c>
      <c r="J3" s="15">
        <v>362.15199999999999</v>
      </c>
      <c r="K3" s="40">
        <f t="shared" si="2"/>
        <v>0.24150260940077808</v>
      </c>
      <c r="L3" s="41">
        <f t="shared" si="3"/>
        <v>3</v>
      </c>
      <c r="M3" s="15">
        <v>532.70000000000005</v>
      </c>
      <c r="N3" s="40">
        <f t="shared" si="4"/>
        <v>0.35523327229393875</v>
      </c>
      <c r="O3" s="53">
        <f t="shared" si="5"/>
        <v>4</v>
      </c>
      <c r="P3" s="15">
        <v>493.10500000000002</v>
      </c>
      <c r="Q3" s="70">
        <f t="shared" si="6"/>
        <v>0.32882917727520677</v>
      </c>
      <c r="R3" s="39">
        <f>10.944+M3</f>
        <v>543.64400000000001</v>
      </c>
      <c r="S3" s="40">
        <f t="shared" si="7"/>
        <v>0.36253132547956829</v>
      </c>
      <c r="T3" s="73">
        <f t="shared" si="8"/>
        <v>4</v>
      </c>
      <c r="U3" s="41">
        <f t="shared" si="9"/>
        <v>2</v>
      </c>
      <c r="V3" s="15">
        <f>765.278+M3</f>
        <v>1297.9780000000001</v>
      </c>
      <c r="W3" s="74">
        <f>V3/E3</f>
        <v>0.86556217815945558</v>
      </c>
      <c r="X3" s="41">
        <f t="shared" si="10"/>
        <v>4</v>
      </c>
      <c r="Y3" s="15">
        <f>569.513+M3</f>
        <v>1102.2130000000002</v>
      </c>
      <c r="Z3" s="40">
        <f t="shared" si="11"/>
        <v>0.73501545101355192</v>
      </c>
      <c r="AA3" s="41">
        <f t="shared" si="12"/>
        <v>3</v>
      </c>
      <c r="AB3" s="15">
        <v>1269.4590000000001</v>
      </c>
      <c r="AC3" s="39">
        <v>413.60700000000003</v>
      </c>
      <c r="AD3" s="40">
        <f t="shared" si="13"/>
        <v>0.32581359460998743</v>
      </c>
      <c r="AE3" s="41">
        <f t="shared" si="14"/>
        <v>4</v>
      </c>
      <c r="AF3" s="57">
        <f t="shared" si="15"/>
        <v>3.7142857142857144</v>
      </c>
      <c r="AG3" s="60">
        <f t="shared" ref="AG3:AG27" si="18">IF(AF3&lt;1.5,1,IF(AF3&lt;2.5,2,IF(AF3&lt;3.5,3,4)))</f>
        <v>4</v>
      </c>
      <c r="AH3" s="58">
        <v>3</v>
      </c>
      <c r="AI3" s="59">
        <f t="shared" si="16"/>
        <v>12</v>
      </c>
      <c r="AJ3" s="60">
        <f t="shared" si="17"/>
        <v>4</v>
      </c>
      <c r="AK3" s="65">
        <v>4</v>
      </c>
      <c r="AL3" s="23">
        <v>2</v>
      </c>
      <c r="AM3" s="110">
        <v>7</v>
      </c>
      <c r="AN3" s="23">
        <f t="shared" ref="AN3:AN27" si="19">AL3*AM3</f>
        <v>14</v>
      </c>
      <c r="AO3" s="111">
        <f t="shared" ref="AO3:AO27" si="20">IF(AN3&lt;6,1,IF(AN3&lt;12,2,IF(AN3&lt;18,3,4)))</f>
        <v>3</v>
      </c>
    </row>
    <row r="4" spans="1:41" x14ac:dyDescent="0.2">
      <c r="A4" s="34">
        <v>3</v>
      </c>
      <c r="B4" s="49" t="s">
        <v>41</v>
      </c>
      <c r="C4" s="15">
        <v>1150.71</v>
      </c>
      <c r="D4" s="39">
        <v>53.204999999999998</v>
      </c>
      <c r="E4" s="39">
        <v>50.284999999999997</v>
      </c>
      <c r="F4" s="39">
        <v>14.334</v>
      </c>
      <c r="G4" s="39">
        <v>80</v>
      </c>
      <c r="H4" s="40">
        <f t="shared" si="0"/>
        <v>4.3699107507538817E-2</v>
      </c>
      <c r="I4" s="41">
        <f t="shared" si="1"/>
        <v>1</v>
      </c>
      <c r="J4" s="15">
        <v>38.387</v>
      </c>
      <c r="K4" s="40">
        <f t="shared" si="2"/>
        <v>0.76338868449835939</v>
      </c>
      <c r="L4" s="41">
        <f t="shared" si="3"/>
        <v>4</v>
      </c>
      <c r="M4" s="15">
        <v>3.2050000000000001</v>
      </c>
      <c r="N4" s="40">
        <f t="shared" si="4"/>
        <v>6.3736700805409177E-2</v>
      </c>
      <c r="O4" s="53">
        <f t="shared" si="5"/>
        <v>4</v>
      </c>
      <c r="P4" s="15">
        <v>6.484</v>
      </c>
      <c r="Q4" s="70">
        <f t="shared" si="6"/>
        <v>0.12894501342348613</v>
      </c>
      <c r="R4" s="39">
        <v>4.0359999999999996</v>
      </c>
      <c r="S4" s="40">
        <f t="shared" si="7"/>
        <v>8.0262503728746146E-2</v>
      </c>
      <c r="T4" s="73">
        <f t="shared" si="8"/>
        <v>2</v>
      </c>
      <c r="U4" s="41">
        <f t="shared" si="9"/>
        <v>1</v>
      </c>
      <c r="V4" s="15">
        <f>M4+13.698</f>
        <v>16.902999999999999</v>
      </c>
      <c r="W4" s="74">
        <f>V4/D4</f>
        <v>0.31769570529085611</v>
      </c>
      <c r="X4" s="41">
        <f t="shared" si="10"/>
        <v>3</v>
      </c>
      <c r="Y4" s="15">
        <f>6.484+M4</f>
        <v>9.6890000000000001</v>
      </c>
      <c r="Z4" s="40">
        <f t="shared" si="11"/>
        <v>0.19268171422889532</v>
      </c>
      <c r="AA4" s="41">
        <f t="shared" si="12"/>
        <v>2</v>
      </c>
      <c r="AB4" s="15">
        <v>30.716000000000001</v>
      </c>
      <c r="AC4" s="39">
        <v>5.35</v>
      </c>
      <c r="AD4" s="40">
        <f t="shared" si="13"/>
        <v>0.17417632504232319</v>
      </c>
      <c r="AE4" s="41">
        <f t="shared" si="14"/>
        <v>3</v>
      </c>
      <c r="AF4" s="57">
        <f t="shared" si="15"/>
        <v>2.7142857142857144</v>
      </c>
      <c r="AG4" s="60">
        <f t="shared" si="18"/>
        <v>3</v>
      </c>
      <c r="AH4" s="58">
        <v>4</v>
      </c>
      <c r="AI4" s="59">
        <f t="shared" si="16"/>
        <v>12</v>
      </c>
      <c r="AJ4" s="60">
        <f t="shared" si="17"/>
        <v>4</v>
      </c>
      <c r="AK4" s="65">
        <v>4</v>
      </c>
      <c r="AL4" s="23">
        <v>2</v>
      </c>
      <c r="AM4" s="110">
        <v>7</v>
      </c>
      <c r="AN4" s="23">
        <f t="shared" si="19"/>
        <v>14</v>
      </c>
      <c r="AO4" s="111">
        <f t="shared" si="20"/>
        <v>3</v>
      </c>
    </row>
    <row r="5" spans="1:41" x14ac:dyDescent="0.2">
      <c r="A5" s="34">
        <v>4</v>
      </c>
      <c r="B5" s="47" t="s">
        <v>42</v>
      </c>
      <c r="C5" s="15">
        <v>2072.1999999999998</v>
      </c>
      <c r="D5" s="39">
        <v>913.41800000000001</v>
      </c>
      <c r="E5" s="39">
        <v>870.41700000000003</v>
      </c>
      <c r="F5" s="39">
        <v>5.0350000000000001</v>
      </c>
      <c r="G5" s="39">
        <v>62</v>
      </c>
      <c r="H5" s="40">
        <f t="shared" si="0"/>
        <v>0.42004487983785355</v>
      </c>
      <c r="I5" s="41">
        <f t="shared" si="1"/>
        <v>4</v>
      </c>
      <c r="J5" s="15">
        <v>47.435000000000002</v>
      </c>
      <c r="K5" s="40">
        <f t="shared" si="2"/>
        <v>5.4496867593348937E-2</v>
      </c>
      <c r="L5" s="41">
        <f t="shared" si="3"/>
        <v>2</v>
      </c>
      <c r="M5" s="15">
        <v>598.63</v>
      </c>
      <c r="N5" s="40">
        <f t="shared" si="4"/>
        <v>0.68775081369044944</v>
      </c>
      <c r="O5" s="53">
        <f t="shared" si="5"/>
        <v>4</v>
      </c>
      <c r="P5" s="15">
        <v>74.016999999999996</v>
      </c>
      <c r="Q5" s="70">
        <f t="shared" si="6"/>
        <v>8.5036252738629872E-2</v>
      </c>
      <c r="R5" s="39">
        <v>643.08600000000001</v>
      </c>
      <c r="S5" s="40">
        <f t="shared" si="7"/>
        <v>0.73882518379121731</v>
      </c>
      <c r="T5" s="73">
        <f t="shared" si="8"/>
        <v>8</v>
      </c>
      <c r="U5" s="41">
        <f t="shared" si="9"/>
        <v>4</v>
      </c>
      <c r="V5" s="15">
        <v>204.10900000000001</v>
      </c>
      <c r="W5" s="74">
        <f>V5/E5</f>
        <v>0.23449564978625187</v>
      </c>
      <c r="X5" s="41">
        <f t="shared" si="10"/>
        <v>2</v>
      </c>
      <c r="Y5" s="15">
        <f>88.824+M5</f>
        <v>687.45399999999995</v>
      </c>
      <c r="Z5" s="40">
        <f t="shared" si="11"/>
        <v>0.78979845292543682</v>
      </c>
      <c r="AA5" s="41">
        <f t="shared" si="12"/>
        <v>3</v>
      </c>
      <c r="AB5" s="15">
        <v>819.81700000000001</v>
      </c>
      <c r="AC5" s="39">
        <v>6.2889999999999997</v>
      </c>
      <c r="AD5" s="40">
        <f t="shared" si="13"/>
        <v>7.671224187837041E-3</v>
      </c>
      <c r="AE5" s="41">
        <f t="shared" si="14"/>
        <v>1</v>
      </c>
      <c r="AF5" s="57">
        <f t="shared" si="15"/>
        <v>3.4285714285714284</v>
      </c>
      <c r="AG5" s="60">
        <f t="shared" si="18"/>
        <v>3</v>
      </c>
      <c r="AH5" s="58">
        <v>3</v>
      </c>
      <c r="AI5" s="59">
        <f t="shared" si="16"/>
        <v>9</v>
      </c>
      <c r="AJ5" s="60">
        <f t="shared" si="17"/>
        <v>3</v>
      </c>
      <c r="AK5" s="64">
        <v>3</v>
      </c>
      <c r="AL5" s="23">
        <v>2</v>
      </c>
      <c r="AM5" s="110">
        <v>7</v>
      </c>
      <c r="AN5" s="23">
        <f t="shared" si="19"/>
        <v>14</v>
      </c>
      <c r="AO5" s="111">
        <f t="shared" si="20"/>
        <v>3</v>
      </c>
    </row>
    <row r="6" spans="1:41" x14ac:dyDescent="0.2">
      <c r="A6" s="34">
        <v>5</v>
      </c>
      <c r="B6" s="47" t="s">
        <v>43</v>
      </c>
      <c r="C6" s="15">
        <v>8249.25</v>
      </c>
      <c r="D6" s="39">
        <f>4484.424+544.68</f>
        <v>5029.1040000000003</v>
      </c>
      <c r="E6" s="39">
        <f>4107.924+346.657</f>
        <v>4454.5810000000001</v>
      </c>
      <c r="F6" s="39">
        <v>3.2559999999999998</v>
      </c>
      <c r="G6" s="39">
        <v>75</v>
      </c>
      <c r="H6" s="40">
        <f t="shared" si="0"/>
        <v>0.53999830287601902</v>
      </c>
      <c r="I6" s="41">
        <f t="shared" si="1"/>
        <v>4</v>
      </c>
      <c r="J6" s="15">
        <v>242.732</v>
      </c>
      <c r="K6" s="40">
        <f t="shared" si="2"/>
        <v>5.4490422331527927E-2</v>
      </c>
      <c r="L6" s="41">
        <f t="shared" si="3"/>
        <v>2</v>
      </c>
      <c r="M6" s="15">
        <f>2747.98+345.901</f>
        <v>3093.8809999999999</v>
      </c>
      <c r="N6" s="40">
        <f t="shared" si="4"/>
        <v>0.69453917214660588</v>
      </c>
      <c r="O6" s="53">
        <f t="shared" si="5"/>
        <v>4</v>
      </c>
      <c r="P6" s="15">
        <f>258.331+M6</f>
        <v>3352.212</v>
      </c>
      <c r="Q6" s="70">
        <f t="shared" si="6"/>
        <v>0.75253138286182242</v>
      </c>
      <c r="R6" s="39">
        <v>2634.0619999999999</v>
      </c>
      <c r="S6" s="40">
        <f t="shared" si="7"/>
        <v>0.59131532236140727</v>
      </c>
      <c r="T6" s="73">
        <f t="shared" si="8"/>
        <v>6</v>
      </c>
      <c r="U6" s="41">
        <f t="shared" si="9"/>
        <v>3</v>
      </c>
      <c r="V6" s="15">
        <f>930.071+M6+0.756</f>
        <v>4024.7079999999996</v>
      </c>
      <c r="W6" s="74">
        <f>V6/E6</f>
        <v>0.90349866800042467</v>
      </c>
      <c r="X6" s="41">
        <f t="shared" si="10"/>
        <v>4</v>
      </c>
      <c r="Y6" s="15">
        <f>604.656+M6</f>
        <v>3698.5369999999998</v>
      </c>
      <c r="Z6" s="40">
        <f t="shared" si="11"/>
        <v>0.83027719105343456</v>
      </c>
      <c r="AA6" s="41">
        <f t="shared" si="12"/>
        <v>4</v>
      </c>
      <c r="AB6" s="15">
        <v>3300.3150000000001</v>
      </c>
      <c r="AC6" s="39">
        <v>314.87799999999999</v>
      </c>
      <c r="AD6" s="40">
        <f t="shared" si="13"/>
        <v>9.5408468585574405E-2</v>
      </c>
      <c r="AE6" s="41">
        <f t="shared" si="14"/>
        <v>2</v>
      </c>
      <c r="AF6" s="57">
        <f t="shared" si="15"/>
        <v>3.7142857142857144</v>
      </c>
      <c r="AG6" s="60">
        <f t="shared" si="18"/>
        <v>4</v>
      </c>
      <c r="AH6" s="58">
        <v>3</v>
      </c>
      <c r="AI6" s="59">
        <f t="shared" si="16"/>
        <v>12</v>
      </c>
      <c r="AJ6" s="60">
        <f t="shared" si="17"/>
        <v>4</v>
      </c>
      <c r="AK6" s="65">
        <v>4</v>
      </c>
      <c r="AL6" s="23">
        <v>2</v>
      </c>
      <c r="AM6" s="110">
        <v>7</v>
      </c>
      <c r="AN6" s="23">
        <f t="shared" si="19"/>
        <v>14</v>
      </c>
      <c r="AO6" s="111">
        <f t="shared" si="20"/>
        <v>3</v>
      </c>
    </row>
    <row r="7" spans="1:41" x14ac:dyDescent="0.2">
      <c r="A7" s="34">
        <v>6</v>
      </c>
      <c r="B7" s="47" t="s">
        <v>44</v>
      </c>
      <c r="C7" s="15">
        <v>15254.96</v>
      </c>
      <c r="D7" s="39">
        <v>4533.4790000000003</v>
      </c>
      <c r="E7" s="39">
        <v>4403.652</v>
      </c>
      <c r="F7" s="39">
        <v>39.305999999999997</v>
      </c>
      <c r="G7" s="39">
        <v>70</v>
      </c>
      <c r="H7" s="40">
        <f t="shared" si="0"/>
        <v>0.2886701767818467</v>
      </c>
      <c r="I7" s="41">
        <f t="shared" si="1"/>
        <v>3</v>
      </c>
      <c r="J7" s="15">
        <v>1793.902</v>
      </c>
      <c r="K7" s="40">
        <f t="shared" si="2"/>
        <v>0.4073668854850474</v>
      </c>
      <c r="L7" s="41">
        <f t="shared" si="3"/>
        <v>4</v>
      </c>
      <c r="M7" s="15">
        <v>1620.4559999999999</v>
      </c>
      <c r="N7" s="40">
        <f t="shared" si="4"/>
        <v>0.36798003111962524</v>
      </c>
      <c r="O7" s="53">
        <f t="shared" si="5"/>
        <v>4</v>
      </c>
      <c r="P7" s="15">
        <v>677.01400000000001</v>
      </c>
      <c r="Q7" s="70">
        <f t="shared" si="6"/>
        <v>0.15373921463367224</v>
      </c>
      <c r="R7" s="39">
        <f>107.314+M7</f>
        <v>1727.77</v>
      </c>
      <c r="S7" s="40">
        <f t="shared" si="7"/>
        <v>0.39234935003946725</v>
      </c>
      <c r="T7" s="73">
        <f t="shared" si="8"/>
        <v>4</v>
      </c>
      <c r="U7" s="41">
        <f t="shared" si="9"/>
        <v>2</v>
      </c>
      <c r="V7" s="15">
        <f>1151.428+M7</f>
        <v>2771.884</v>
      </c>
      <c r="W7" s="74">
        <f>V7/D7</f>
        <v>0.61142535346474525</v>
      </c>
      <c r="X7" s="41">
        <f t="shared" si="10"/>
        <v>4</v>
      </c>
      <c r="Y7" s="15">
        <f>853.031+M7</f>
        <v>2473.4870000000001</v>
      </c>
      <c r="Z7" s="40">
        <f t="shared" si="11"/>
        <v>0.56168993371864995</v>
      </c>
      <c r="AA7" s="41">
        <f t="shared" si="12"/>
        <v>3</v>
      </c>
      <c r="AB7" s="15">
        <v>2789.2449999999999</v>
      </c>
      <c r="AC7" s="39">
        <v>2023.6759999999999</v>
      </c>
      <c r="AD7" s="40">
        <f t="shared" si="13"/>
        <v>0.7255282343429853</v>
      </c>
      <c r="AE7" s="41">
        <f t="shared" si="14"/>
        <v>4</v>
      </c>
      <c r="AF7" s="57">
        <f t="shared" si="15"/>
        <v>3.7142857142857144</v>
      </c>
      <c r="AG7" s="60">
        <f t="shared" si="18"/>
        <v>4</v>
      </c>
      <c r="AH7" s="58">
        <v>3</v>
      </c>
      <c r="AI7" s="59">
        <f t="shared" si="16"/>
        <v>12</v>
      </c>
      <c r="AJ7" s="60">
        <f t="shared" si="17"/>
        <v>4</v>
      </c>
      <c r="AK7" s="65">
        <v>4</v>
      </c>
      <c r="AL7" s="23">
        <v>2</v>
      </c>
      <c r="AM7" s="110">
        <v>7</v>
      </c>
      <c r="AN7" s="23">
        <f t="shared" si="19"/>
        <v>14</v>
      </c>
      <c r="AO7" s="111">
        <f t="shared" si="20"/>
        <v>3</v>
      </c>
    </row>
    <row r="8" spans="1:41" x14ac:dyDescent="0.2">
      <c r="A8" s="34">
        <v>7</v>
      </c>
      <c r="B8" s="47" t="s">
        <v>45</v>
      </c>
      <c r="C8" s="15">
        <v>7544.51</v>
      </c>
      <c r="D8" s="39">
        <f>5458.694+1032.261</f>
        <v>6490.9549999999999</v>
      </c>
      <c r="E8" s="39">
        <f>5363.368+759.835</f>
        <v>6123.2030000000004</v>
      </c>
      <c r="F8" s="39">
        <v>48.709000000000003</v>
      </c>
      <c r="G8" s="39">
        <v>69</v>
      </c>
      <c r="H8" s="40">
        <f t="shared" si="0"/>
        <v>0.81161042930554805</v>
      </c>
      <c r="I8" s="41">
        <f t="shared" si="1"/>
        <v>4</v>
      </c>
      <c r="J8" s="15">
        <v>5.8440000000000003</v>
      </c>
      <c r="K8" s="43">
        <f t="shared" si="2"/>
        <v>9.5440245897449418E-4</v>
      </c>
      <c r="L8" s="41">
        <f t="shared" si="3"/>
        <v>1</v>
      </c>
      <c r="M8" s="15">
        <f>5059.394+759.017</f>
        <v>5818.4110000000001</v>
      </c>
      <c r="N8" s="40">
        <f t="shared" si="4"/>
        <v>0.95022343698224598</v>
      </c>
      <c r="O8" s="53">
        <f t="shared" si="5"/>
        <v>4</v>
      </c>
      <c r="P8" s="15">
        <f>102.129+0.004</f>
        <v>102.13300000000001</v>
      </c>
      <c r="Q8" s="70">
        <f t="shared" si="6"/>
        <v>1.6679669120883305E-2</v>
      </c>
      <c r="R8" s="39">
        <f>41.564+M8</f>
        <v>5859.9750000000004</v>
      </c>
      <c r="S8" s="40">
        <f t="shared" si="7"/>
        <v>0.9570113876675328</v>
      </c>
      <c r="T8" s="73">
        <f t="shared" si="8"/>
        <v>8</v>
      </c>
      <c r="U8" s="41">
        <f t="shared" si="9"/>
        <v>4</v>
      </c>
      <c r="V8" s="15">
        <f>114.593+M8+0.337+0.477+0.004</f>
        <v>5933.8220000000001</v>
      </c>
      <c r="W8" s="74">
        <f t="shared" ref="W8:W13" si="21">V8/E8</f>
        <v>0.96907157904123054</v>
      </c>
      <c r="X8" s="41">
        <f t="shared" si="10"/>
        <v>4</v>
      </c>
      <c r="Y8" s="15">
        <f>M8+114.681+0.004</f>
        <v>5933.0959999999995</v>
      </c>
      <c r="Z8" s="40">
        <f t="shared" si="11"/>
        <v>0.96895301364334963</v>
      </c>
      <c r="AA8" s="41">
        <f t="shared" si="12"/>
        <v>4</v>
      </c>
      <c r="AB8" s="15">
        <v>5154.2719999999999</v>
      </c>
      <c r="AC8" s="39">
        <v>1830.9960000000001</v>
      </c>
      <c r="AD8" s="40">
        <f t="shared" si="13"/>
        <v>0.35523852835085151</v>
      </c>
      <c r="AE8" s="41">
        <f t="shared" si="14"/>
        <v>4</v>
      </c>
      <c r="AF8" s="57">
        <f t="shared" si="15"/>
        <v>4.1428571428571432</v>
      </c>
      <c r="AG8" s="60">
        <f t="shared" si="18"/>
        <v>4</v>
      </c>
      <c r="AH8" s="58">
        <v>3</v>
      </c>
      <c r="AI8" s="59">
        <f t="shared" si="16"/>
        <v>12</v>
      </c>
      <c r="AJ8" s="60">
        <f t="shared" si="17"/>
        <v>4</v>
      </c>
      <c r="AK8" s="65">
        <v>4</v>
      </c>
      <c r="AL8" s="23">
        <v>2</v>
      </c>
      <c r="AM8" s="110">
        <v>7</v>
      </c>
      <c r="AN8" s="23">
        <f t="shared" si="19"/>
        <v>14</v>
      </c>
      <c r="AO8" s="111">
        <f t="shared" si="20"/>
        <v>3</v>
      </c>
    </row>
    <row r="9" spans="1:41" x14ac:dyDescent="0.2">
      <c r="A9" s="34">
        <v>8</v>
      </c>
      <c r="B9" s="47" t="s">
        <v>46</v>
      </c>
      <c r="C9" s="15">
        <v>3799.2</v>
      </c>
      <c r="D9" s="39">
        <f>1226.63+2004.323</f>
        <v>3230.9530000000004</v>
      </c>
      <c r="E9" s="39">
        <f>1202.96+1271.378</f>
        <v>2474.3379999999997</v>
      </c>
      <c r="F9" s="39">
        <v>18.247</v>
      </c>
      <c r="G9" s="39">
        <v>71</v>
      </c>
      <c r="H9" s="40">
        <f t="shared" si="0"/>
        <v>0.65127869025057905</v>
      </c>
      <c r="I9" s="41">
        <f t="shared" si="1"/>
        <v>4</v>
      </c>
      <c r="J9" s="15">
        <f>12.398+0.89</f>
        <v>13.288</v>
      </c>
      <c r="K9" s="40">
        <f t="shared" si="2"/>
        <v>5.3703253152964561E-3</v>
      </c>
      <c r="L9" s="41">
        <f t="shared" si="3"/>
        <v>1</v>
      </c>
      <c r="M9" s="15">
        <f>941.456+1148.167</f>
        <v>2089.623</v>
      </c>
      <c r="N9" s="40">
        <f t="shared" si="4"/>
        <v>0.84451800845317015</v>
      </c>
      <c r="O9" s="53">
        <f t="shared" si="5"/>
        <v>4</v>
      </c>
      <c r="P9" s="15">
        <f>123.614+16.804+25.856</f>
        <v>166.274</v>
      </c>
      <c r="Q9" s="70">
        <f t="shared" si="6"/>
        <v>6.7199388280825015E-2</v>
      </c>
      <c r="R9" s="39">
        <f>12.515+M9</f>
        <v>2102.1379999999999</v>
      </c>
      <c r="S9" s="40">
        <f t="shared" si="7"/>
        <v>0.84957592697521522</v>
      </c>
      <c r="T9" s="73">
        <f t="shared" si="8"/>
        <v>8</v>
      </c>
      <c r="U9" s="41">
        <f t="shared" si="9"/>
        <v>4</v>
      </c>
      <c r="V9" s="15">
        <f>251.334+M9+16.804+25.856+3.004+76.657</f>
        <v>2463.2780000000002</v>
      </c>
      <c r="W9" s="75">
        <f t="shared" si="21"/>
        <v>0.99553011755063392</v>
      </c>
      <c r="X9" s="41">
        <f t="shared" si="10"/>
        <v>4</v>
      </c>
      <c r="Y9" s="15">
        <f>49.884+M9+16.804</f>
        <v>2156.3110000000001</v>
      </c>
      <c r="Z9" s="40">
        <f t="shared" si="11"/>
        <v>0.8714698638585352</v>
      </c>
      <c r="AA9" s="41">
        <f t="shared" si="12"/>
        <v>4</v>
      </c>
      <c r="AB9" s="15">
        <v>1169.921</v>
      </c>
      <c r="AC9" s="39">
        <v>301.07299999999998</v>
      </c>
      <c r="AD9" s="40">
        <f t="shared" si="13"/>
        <v>0.25734472669522129</v>
      </c>
      <c r="AE9" s="41">
        <f t="shared" si="14"/>
        <v>4</v>
      </c>
      <c r="AF9" s="57">
        <f t="shared" si="15"/>
        <v>4.1428571428571432</v>
      </c>
      <c r="AG9" s="60">
        <f t="shared" si="18"/>
        <v>4</v>
      </c>
      <c r="AH9" s="58">
        <v>2</v>
      </c>
      <c r="AI9" s="59">
        <f t="shared" si="16"/>
        <v>8</v>
      </c>
      <c r="AJ9" s="60">
        <f t="shared" si="17"/>
        <v>3</v>
      </c>
      <c r="AK9" s="64">
        <v>3</v>
      </c>
      <c r="AL9" s="23">
        <v>2</v>
      </c>
      <c r="AM9" s="110">
        <v>7</v>
      </c>
      <c r="AN9" s="23">
        <f t="shared" si="19"/>
        <v>14</v>
      </c>
      <c r="AO9" s="111">
        <f t="shared" si="20"/>
        <v>3</v>
      </c>
    </row>
    <row r="10" spans="1:41" s="5" customFormat="1" x14ac:dyDescent="0.2">
      <c r="A10" s="34">
        <v>9</v>
      </c>
      <c r="B10" s="47" t="s">
        <v>47</v>
      </c>
      <c r="C10" s="15">
        <v>13032.67</v>
      </c>
      <c r="D10" s="39">
        <v>3043.2350000000001</v>
      </c>
      <c r="E10" s="39">
        <v>2962.317</v>
      </c>
      <c r="F10" s="39">
        <v>0</v>
      </c>
      <c r="G10" s="39">
        <v>65</v>
      </c>
      <c r="H10" s="40">
        <f t="shared" si="0"/>
        <v>0.22729931779136586</v>
      </c>
      <c r="I10" s="41">
        <f t="shared" si="1"/>
        <v>3</v>
      </c>
      <c r="J10" s="15">
        <v>691.61400000000003</v>
      </c>
      <c r="K10" s="40">
        <f t="shared" si="2"/>
        <v>0.23347062451452699</v>
      </c>
      <c r="L10" s="41">
        <f t="shared" si="3"/>
        <v>3</v>
      </c>
      <c r="M10" s="15">
        <v>1137.4079999999999</v>
      </c>
      <c r="N10" s="40">
        <f t="shared" si="4"/>
        <v>0.38395890784139575</v>
      </c>
      <c r="O10" s="53">
        <f t="shared" si="5"/>
        <v>4</v>
      </c>
      <c r="P10" s="15">
        <v>587.57600000000002</v>
      </c>
      <c r="Q10" s="70">
        <f t="shared" si="6"/>
        <v>0.19835014281050947</v>
      </c>
      <c r="R10" s="39">
        <f>319.429+M10</f>
        <v>1456.837</v>
      </c>
      <c r="S10" s="40">
        <f t="shared" si="7"/>
        <v>0.49178970380280029</v>
      </c>
      <c r="T10" s="73">
        <f t="shared" si="8"/>
        <v>4</v>
      </c>
      <c r="U10" s="41">
        <f t="shared" si="9"/>
        <v>2</v>
      </c>
      <c r="V10" s="15">
        <f>816.45+M10</f>
        <v>1953.8579999999999</v>
      </c>
      <c r="W10" s="74">
        <f t="shared" si="21"/>
        <v>0.65957086969422918</v>
      </c>
      <c r="X10" s="41">
        <f t="shared" si="10"/>
        <v>4</v>
      </c>
      <c r="Y10" s="15">
        <f>651.875+M10</f>
        <v>1789.2829999999999</v>
      </c>
      <c r="Z10" s="40">
        <f t="shared" si="11"/>
        <v>0.60401469525374896</v>
      </c>
      <c r="AA10" s="41">
        <f t="shared" si="12"/>
        <v>3</v>
      </c>
      <c r="AB10" s="15">
        <v>1429.96</v>
      </c>
      <c r="AC10" s="39">
        <v>947.75</v>
      </c>
      <c r="AD10" s="40">
        <f t="shared" si="13"/>
        <v>0.66278077708467364</v>
      </c>
      <c r="AE10" s="41">
        <f t="shared" si="14"/>
        <v>4</v>
      </c>
      <c r="AF10" s="57">
        <f t="shared" si="15"/>
        <v>3.5714285714285716</v>
      </c>
      <c r="AG10" s="60">
        <f t="shared" si="18"/>
        <v>4</v>
      </c>
      <c r="AH10" s="58">
        <v>3</v>
      </c>
      <c r="AI10" s="59">
        <f t="shared" si="16"/>
        <v>12</v>
      </c>
      <c r="AJ10" s="60">
        <f t="shared" si="17"/>
        <v>4</v>
      </c>
      <c r="AK10" s="65">
        <v>4</v>
      </c>
      <c r="AL10" s="23">
        <v>2</v>
      </c>
      <c r="AM10" s="110">
        <v>7</v>
      </c>
      <c r="AN10" s="23">
        <f t="shared" si="19"/>
        <v>14</v>
      </c>
      <c r="AO10" s="111">
        <f t="shared" si="20"/>
        <v>3</v>
      </c>
    </row>
    <row r="11" spans="1:41" x14ac:dyDescent="0.2">
      <c r="A11" s="34">
        <v>10</v>
      </c>
      <c r="B11" s="47" t="s">
        <v>48</v>
      </c>
      <c r="C11" s="15">
        <v>10485.299999999999</v>
      </c>
      <c r="D11" s="39">
        <v>1960.377</v>
      </c>
      <c r="E11" s="39">
        <v>1923.1890000000001</v>
      </c>
      <c r="F11" s="39">
        <v>2.9609999999999999</v>
      </c>
      <c r="G11" s="39">
        <v>66</v>
      </c>
      <c r="H11" s="40">
        <f t="shared" si="0"/>
        <v>0.18341764184143516</v>
      </c>
      <c r="I11" s="41">
        <f t="shared" si="1"/>
        <v>2</v>
      </c>
      <c r="J11" s="15">
        <v>703.471</v>
      </c>
      <c r="K11" s="40">
        <f t="shared" si="2"/>
        <v>0.36578360213166777</v>
      </c>
      <c r="L11" s="41">
        <f t="shared" si="3"/>
        <v>4</v>
      </c>
      <c r="M11" s="15">
        <v>193.58699999999999</v>
      </c>
      <c r="N11" s="40">
        <f t="shared" si="4"/>
        <v>0.10065937357170823</v>
      </c>
      <c r="O11" s="53">
        <f t="shared" si="5"/>
        <v>4</v>
      </c>
      <c r="P11" s="15">
        <v>218.572</v>
      </c>
      <c r="Q11" s="70">
        <f t="shared" si="6"/>
        <v>0.11365081643041844</v>
      </c>
      <c r="R11" s="39">
        <f>678.177+M11</f>
        <v>871.76400000000001</v>
      </c>
      <c r="S11" s="40">
        <f t="shared" si="7"/>
        <v>0.45329086220855047</v>
      </c>
      <c r="T11" s="73">
        <f t="shared" si="8"/>
        <v>4</v>
      </c>
      <c r="U11" s="41">
        <f t="shared" si="9"/>
        <v>2</v>
      </c>
      <c r="V11" s="15">
        <f>310.744+M11</f>
        <v>504.33100000000002</v>
      </c>
      <c r="W11" s="74">
        <f t="shared" si="21"/>
        <v>0.26223683683714916</v>
      </c>
      <c r="X11" s="41">
        <f t="shared" si="10"/>
        <v>2</v>
      </c>
      <c r="Y11" s="15">
        <f>715.49+M11</f>
        <v>909.077</v>
      </c>
      <c r="Z11" s="40">
        <f t="shared" si="11"/>
        <v>0.47269249148159642</v>
      </c>
      <c r="AA11" s="41">
        <f t="shared" si="12"/>
        <v>2</v>
      </c>
      <c r="AB11" s="15">
        <v>894.13900000000001</v>
      </c>
      <c r="AC11" s="39">
        <v>532.31899999999996</v>
      </c>
      <c r="AD11" s="40">
        <f t="shared" si="13"/>
        <v>0.59534255859547558</v>
      </c>
      <c r="AE11" s="41">
        <f t="shared" si="14"/>
        <v>4</v>
      </c>
      <c r="AF11" s="57">
        <f t="shared" si="15"/>
        <v>3.1428571428571428</v>
      </c>
      <c r="AG11" s="60">
        <f t="shared" si="18"/>
        <v>3</v>
      </c>
      <c r="AH11" s="58">
        <v>2</v>
      </c>
      <c r="AI11" s="59">
        <f t="shared" si="16"/>
        <v>6</v>
      </c>
      <c r="AJ11" s="60">
        <f t="shared" si="17"/>
        <v>3</v>
      </c>
      <c r="AK11" s="64">
        <v>3</v>
      </c>
      <c r="AL11" s="23">
        <v>2</v>
      </c>
      <c r="AM11" s="110">
        <v>7</v>
      </c>
      <c r="AN11" s="23">
        <f t="shared" si="19"/>
        <v>14</v>
      </c>
      <c r="AO11" s="111">
        <f t="shared" si="20"/>
        <v>3</v>
      </c>
    </row>
    <row r="12" spans="1:41" x14ac:dyDescent="0.2">
      <c r="A12" s="34">
        <v>11</v>
      </c>
      <c r="B12" s="47" t="s">
        <v>49</v>
      </c>
      <c r="C12" s="15">
        <v>15990.05</v>
      </c>
      <c r="D12" s="39">
        <v>4939.9030000000002</v>
      </c>
      <c r="E12" s="39">
        <v>4867.3379999999997</v>
      </c>
      <c r="F12" s="39">
        <v>8.5060000000000002</v>
      </c>
      <c r="G12" s="39">
        <v>70</v>
      </c>
      <c r="H12" s="40">
        <f t="shared" si="0"/>
        <v>0.3043979224580286</v>
      </c>
      <c r="I12" s="41">
        <f t="shared" si="1"/>
        <v>4</v>
      </c>
      <c r="J12" s="15">
        <v>1854.19</v>
      </c>
      <c r="K12" s="40">
        <f t="shared" si="2"/>
        <v>0.380945395614605</v>
      </c>
      <c r="L12" s="41">
        <f t="shared" si="3"/>
        <v>4</v>
      </c>
      <c r="M12" s="15">
        <v>1603.7940000000001</v>
      </c>
      <c r="N12" s="40">
        <f t="shared" si="4"/>
        <v>0.32950125920985973</v>
      </c>
      <c r="O12" s="53">
        <f t="shared" si="5"/>
        <v>4</v>
      </c>
      <c r="P12" s="76">
        <v>958.62800000000004</v>
      </c>
      <c r="Q12" s="70">
        <f t="shared" si="6"/>
        <v>0.19695118769232794</v>
      </c>
      <c r="R12" s="39">
        <f>180.431+M12</f>
        <v>1784.2250000000001</v>
      </c>
      <c r="S12" s="40">
        <f t="shared" si="7"/>
        <v>0.3665710086293576</v>
      </c>
      <c r="T12" s="73">
        <f t="shared" si="8"/>
        <v>4</v>
      </c>
      <c r="U12" s="41">
        <f t="shared" si="9"/>
        <v>2</v>
      </c>
      <c r="V12" s="56">
        <f>1419.277+M12</f>
        <v>3023.0709999999999</v>
      </c>
      <c r="W12" s="74">
        <f t="shared" si="21"/>
        <v>0.62109329576043415</v>
      </c>
      <c r="X12" s="41">
        <f t="shared" si="10"/>
        <v>4</v>
      </c>
      <c r="Y12" s="56">
        <v>1098.9010000000001</v>
      </c>
      <c r="Z12" s="40">
        <f t="shared" si="11"/>
        <v>0.22577043139391595</v>
      </c>
      <c r="AA12" s="41">
        <f t="shared" si="12"/>
        <v>2</v>
      </c>
      <c r="AB12" s="15">
        <v>3590.5189999999998</v>
      </c>
      <c r="AC12" s="39">
        <v>1199.6489999999999</v>
      </c>
      <c r="AD12" s="40">
        <f t="shared" si="13"/>
        <v>0.33411576432265083</v>
      </c>
      <c r="AE12" s="41">
        <f t="shared" si="14"/>
        <v>4</v>
      </c>
      <c r="AF12" s="57">
        <f t="shared" si="15"/>
        <v>3.7142857142857144</v>
      </c>
      <c r="AG12" s="60">
        <f t="shared" si="18"/>
        <v>4</v>
      </c>
      <c r="AH12" s="58">
        <v>3</v>
      </c>
      <c r="AI12" s="59">
        <f t="shared" si="16"/>
        <v>12</v>
      </c>
      <c r="AJ12" s="60">
        <f t="shared" si="17"/>
        <v>4</v>
      </c>
      <c r="AK12" s="65">
        <v>4</v>
      </c>
      <c r="AL12" s="23">
        <v>2</v>
      </c>
      <c r="AM12" s="110">
        <v>7</v>
      </c>
      <c r="AN12" s="23">
        <f t="shared" si="19"/>
        <v>14</v>
      </c>
      <c r="AO12" s="111">
        <f t="shared" si="20"/>
        <v>3</v>
      </c>
    </row>
    <row r="13" spans="1:41" x14ac:dyDescent="0.2">
      <c r="A13" s="34">
        <v>12</v>
      </c>
      <c r="B13" s="47" t="s">
        <v>50</v>
      </c>
      <c r="C13" s="15">
        <v>14508.82</v>
      </c>
      <c r="D13" s="39">
        <v>2204.8339999999998</v>
      </c>
      <c r="E13" s="39">
        <v>2136.7280000000001</v>
      </c>
      <c r="F13" s="39">
        <v>2.9550000000000001</v>
      </c>
      <c r="G13" s="39">
        <v>73</v>
      </c>
      <c r="H13" s="40">
        <f t="shared" si="0"/>
        <v>0.14727097034769196</v>
      </c>
      <c r="I13" s="41">
        <f t="shared" si="1"/>
        <v>2</v>
      </c>
      <c r="J13" s="15">
        <v>1229.4069999999999</v>
      </c>
      <c r="K13" s="40">
        <f t="shared" si="2"/>
        <v>0.57536897536794573</v>
      </c>
      <c r="L13" s="41">
        <f t="shared" si="3"/>
        <v>4</v>
      </c>
      <c r="M13" s="15">
        <v>262.37700000000001</v>
      </c>
      <c r="N13" s="40">
        <f t="shared" si="4"/>
        <v>0.1227938230790255</v>
      </c>
      <c r="O13" s="53">
        <f t="shared" si="5"/>
        <v>4</v>
      </c>
      <c r="P13" s="15">
        <v>179.702</v>
      </c>
      <c r="Q13" s="70">
        <f t="shared" si="6"/>
        <v>8.4101486010385973E-2</v>
      </c>
      <c r="R13" s="39">
        <f>343.709+M13</f>
        <v>606.08600000000001</v>
      </c>
      <c r="S13" s="40">
        <f>R12/E13</f>
        <v>0.8350267324619699</v>
      </c>
      <c r="T13" s="73">
        <f t="shared" si="8"/>
        <v>8</v>
      </c>
      <c r="U13" s="41">
        <f t="shared" si="9"/>
        <v>4</v>
      </c>
      <c r="V13" s="15">
        <f>385.444+M13</f>
        <v>647.82100000000003</v>
      </c>
      <c r="W13" s="74">
        <f t="shared" si="21"/>
        <v>0.30318365276254161</v>
      </c>
      <c r="X13" s="41">
        <f t="shared" si="10"/>
        <v>3</v>
      </c>
      <c r="Y13" s="15">
        <f>337.539+M13</f>
        <v>599.91599999999994</v>
      </c>
      <c r="Z13" s="40">
        <f t="shared" si="11"/>
        <v>0.28076385950855698</v>
      </c>
      <c r="AA13" s="41">
        <f t="shared" si="12"/>
        <v>2</v>
      </c>
      <c r="AB13" s="15">
        <v>1095.9649999999999</v>
      </c>
      <c r="AC13" s="39">
        <v>477.05500000000001</v>
      </c>
      <c r="AD13" s="40">
        <f t="shared" si="13"/>
        <v>0.43528306104665754</v>
      </c>
      <c r="AE13" s="41">
        <f t="shared" si="14"/>
        <v>4</v>
      </c>
      <c r="AF13" s="57">
        <f t="shared" si="15"/>
        <v>3.8571428571428572</v>
      </c>
      <c r="AG13" s="60">
        <f t="shared" si="18"/>
        <v>4</v>
      </c>
      <c r="AH13" s="58">
        <v>1</v>
      </c>
      <c r="AI13" s="59">
        <f t="shared" si="16"/>
        <v>4</v>
      </c>
      <c r="AJ13" s="60">
        <f t="shared" si="17"/>
        <v>2</v>
      </c>
      <c r="AK13" s="63">
        <v>2</v>
      </c>
      <c r="AL13" s="23">
        <v>2</v>
      </c>
      <c r="AM13" s="110">
        <v>5</v>
      </c>
      <c r="AN13" s="23">
        <f t="shared" si="19"/>
        <v>10</v>
      </c>
      <c r="AO13" s="112">
        <f t="shared" si="20"/>
        <v>2</v>
      </c>
    </row>
    <row r="14" spans="1:41" x14ac:dyDescent="0.2">
      <c r="A14" s="34">
        <v>13</v>
      </c>
      <c r="B14" s="47" t="s">
        <v>51</v>
      </c>
      <c r="C14" s="15">
        <v>4316.6400000000003</v>
      </c>
      <c r="D14" s="39">
        <f>2488.881+507.235</f>
        <v>2996.116</v>
      </c>
      <c r="E14" s="39">
        <f>2455.663+276.902</f>
        <v>2732.5650000000001</v>
      </c>
      <c r="F14" s="39">
        <v>0</v>
      </c>
      <c r="G14" s="39">
        <v>80</v>
      </c>
      <c r="H14" s="40">
        <f t="shared" si="0"/>
        <v>0.63303055154008669</v>
      </c>
      <c r="I14" s="41">
        <f t="shared" si="1"/>
        <v>4</v>
      </c>
      <c r="J14" s="15">
        <v>32.634</v>
      </c>
      <c r="K14" s="40">
        <f t="shared" si="2"/>
        <v>1.1942625335536392E-2</v>
      </c>
      <c r="L14" s="41">
        <f t="shared" si="3"/>
        <v>1</v>
      </c>
      <c r="M14" s="15">
        <f>1780.153+261.677</f>
        <v>2041.83</v>
      </c>
      <c r="N14" s="40">
        <f t="shared" si="4"/>
        <v>0.74722101761531745</v>
      </c>
      <c r="O14" s="53">
        <f t="shared" si="5"/>
        <v>4</v>
      </c>
      <c r="P14" s="15">
        <f>490.837+13.06+2.162</f>
        <v>506.05899999999997</v>
      </c>
      <c r="Q14" s="70">
        <f t="shared" si="6"/>
        <v>0.18519559461531562</v>
      </c>
      <c r="R14" s="39">
        <f>92.552+M14</f>
        <v>2134.3820000000001</v>
      </c>
      <c r="S14" s="40">
        <f t="shared" ref="S14:S27" si="22">R14/E14</f>
        <v>0.78109102619699811</v>
      </c>
      <c r="T14" s="73">
        <f t="shared" si="8"/>
        <v>8</v>
      </c>
      <c r="U14" s="41">
        <f t="shared" si="9"/>
        <v>4</v>
      </c>
      <c r="V14" s="15">
        <f>551.75+M14+13.06+0.003+2.162</f>
        <v>2608.8049999999998</v>
      </c>
      <c r="W14" s="74">
        <f>V14/D14</f>
        <v>0.87072897044039677</v>
      </c>
      <c r="X14" s="41">
        <f t="shared" si="10"/>
        <v>4</v>
      </c>
      <c r="Y14" s="15">
        <f>421.864+M14+13.06</f>
        <v>2476.7539999999999</v>
      </c>
      <c r="Z14" s="40">
        <f t="shared" si="11"/>
        <v>0.90638429460964332</v>
      </c>
      <c r="AA14" s="41">
        <f t="shared" si="12"/>
        <v>4</v>
      </c>
      <c r="AB14" s="15">
        <v>2341.2510000000002</v>
      </c>
      <c r="AC14" s="39">
        <v>825.94899999999996</v>
      </c>
      <c r="AD14" s="40">
        <f t="shared" si="13"/>
        <v>0.35278105593975184</v>
      </c>
      <c r="AE14" s="41">
        <f t="shared" si="14"/>
        <v>4</v>
      </c>
      <c r="AF14" s="57">
        <f t="shared" si="15"/>
        <v>4.1428571428571432</v>
      </c>
      <c r="AG14" s="60">
        <f t="shared" si="18"/>
        <v>4</v>
      </c>
      <c r="AH14" s="58">
        <v>4</v>
      </c>
      <c r="AI14" s="59">
        <f t="shared" si="16"/>
        <v>16</v>
      </c>
      <c r="AJ14" s="60">
        <f t="shared" si="17"/>
        <v>4</v>
      </c>
      <c r="AK14" s="65">
        <v>4</v>
      </c>
      <c r="AL14" s="23">
        <v>2</v>
      </c>
      <c r="AM14" s="110">
        <v>7</v>
      </c>
      <c r="AN14" s="23">
        <f t="shared" si="19"/>
        <v>14</v>
      </c>
      <c r="AO14" s="111">
        <f t="shared" si="20"/>
        <v>3</v>
      </c>
    </row>
    <row r="15" spans="1:41" x14ac:dyDescent="0.2">
      <c r="A15" s="34">
        <v>14</v>
      </c>
      <c r="B15" s="47" t="s">
        <v>52</v>
      </c>
      <c r="C15" s="15">
        <v>9427.44</v>
      </c>
      <c r="D15" s="39">
        <v>2722.3919999999998</v>
      </c>
      <c r="E15" s="39">
        <v>2667.7190000000001</v>
      </c>
      <c r="F15" s="39">
        <v>15.359</v>
      </c>
      <c r="G15" s="39">
        <v>67</v>
      </c>
      <c r="H15" s="40">
        <f t="shared" si="0"/>
        <v>0.28297385080149012</v>
      </c>
      <c r="I15" s="41">
        <f t="shared" si="1"/>
        <v>3</v>
      </c>
      <c r="J15" s="15">
        <v>641.01900000000001</v>
      </c>
      <c r="K15" s="40">
        <f t="shared" si="2"/>
        <v>0.24028730162359679</v>
      </c>
      <c r="L15" s="41">
        <f t="shared" si="3"/>
        <v>3</v>
      </c>
      <c r="M15" s="15">
        <v>1279.624</v>
      </c>
      <c r="N15" s="40">
        <f t="shared" si="4"/>
        <v>0.47966971034055683</v>
      </c>
      <c r="O15" s="53">
        <f t="shared" si="5"/>
        <v>4</v>
      </c>
      <c r="P15" s="15">
        <v>528.01</v>
      </c>
      <c r="Q15" s="70">
        <f t="shared" si="6"/>
        <v>0.19792564359289713</v>
      </c>
      <c r="R15" s="39">
        <f>118.921+M15</f>
        <v>1398.5450000000001</v>
      </c>
      <c r="S15" s="40">
        <f t="shared" si="22"/>
        <v>0.52424749383274627</v>
      </c>
      <c r="T15" s="73">
        <f t="shared" si="8"/>
        <v>6</v>
      </c>
      <c r="U15" s="41">
        <f t="shared" si="9"/>
        <v>3</v>
      </c>
      <c r="V15" s="15">
        <f>898.871+M15</f>
        <v>2178.4949999999999</v>
      </c>
      <c r="W15" s="74">
        <f>V15/E15</f>
        <v>0.81661336894927838</v>
      </c>
      <c r="X15" s="41">
        <f t="shared" si="10"/>
        <v>4</v>
      </c>
      <c r="Y15" s="15">
        <f>523.194+M15</f>
        <v>1802.818</v>
      </c>
      <c r="Z15" s="40">
        <f t="shared" si="11"/>
        <v>0.67579006634506855</v>
      </c>
      <c r="AA15" s="41">
        <f t="shared" si="12"/>
        <v>3</v>
      </c>
      <c r="AB15" s="15">
        <v>1460.7170000000001</v>
      </c>
      <c r="AC15" s="39">
        <v>500.77499999999998</v>
      </c>
      <c r="AD15" s="40">
        <f t="shared" si="13"/>
        <v>0.34282821381554396</v>
      </c>
      <c r="AE15" s="41">
        <f t="shared" si="14"/>
        <v>4</v>
      </c>
      <c r="AF15" s="57">
        <f t="shared" si="15"/>
        <v>3.8571428571428572</v>
      </c>
      <c r="AG15" s="60">
        <f t="shared" si="18"/>
        <v>4</v>
      </c>
      <c r="AH15" s="58">
        <v>4</v>
      </c>
      <c r="AI15" s="59">
        <f t="shared" si="16"/>
        <v>16</v>
      </c>
      <c r="AJ15" s="60">
        <f t="shared" si="17"/>
        <v>4</v>
      </c>
      <c r="AK15" s="65">
        <v>4</v>
      </c>
      <c r="AL15" s="23">
        <v>2</v>
      </c>
      <c r="AM15" s="110">
        <v>7</v>
      </c>
      <c r="AN15" s="23">
        <f t="shared" si="19"/>
        <v>14</v>
      </c>
      <c r="AO15" s="111">
        <f t="shared" si="20"/>
        <v>3</v>
      </c>
    </row>
    <row r="16" spans="1:41" x14ac:dyDescent="0.2">
      <c r="A16" s="34">
        <v>15</v>
      </c>
      <c r="B16" s="47" t="s">
        <v>53</v>
      </c>
      <c r="C16" s="15">
        <v>4712.68</v>
      </c>
      <c r="D16" s="39">
        <v>997.83699999999999</v>
      </c>
      <c r="E16" s="39">
        <v>937.44</v>
      </c>
      <c r="F16" s="39">
        <v>5.3680000000000003</v>
      </c>
      <c r="G16" s="39">
        <v>73</v>
      </c>
      <c r="H16" s="40">
        <f t="shared" si="0"/>
        <v>0.19891866199275146</v>
      </c>
      <c r="I16" s="41">
        <f t="shared" si="1"/>
        <v>2</v>
      </c>
      <c r="J16" s="15">
        <v>311.97500000000002</v>
      </c>
      <c r="K16" s="40">
        <f t="shared" si="2"/>
        <v>0.33279463218979349</v>
      </c>
      <c r="L16" s="41">
        <f t="shared" si="3"/>
        <v>4</v>
      </c>
      <c r="M16" s="15">
        <v>253.91300000000001</v>
      </c>
      <c r="N16" s="40">
        <f t="shared" si="4"/>
        <v>0.2708578682369005</v>
      </c>
      <c r="O16" s="53">
        <f t="shared" si="5"/>
        <v>4</v>
      </c>
      <c r="P16" s="15">
        <v>152.24700000000001</v>
      </c>
      <c r="Q16" s="70">
        <f t="shared" si="6"/>
        <v>0.16240719406041987</v>
      </c>
      <c r="R16" s="39">
        <f>118.656+M16</f>
        <v>372.56900000000002</v>
      </c>
      <c r="S16" s="40">
        <f t="shared" si="22"/>
        <v>0.39743236900494966</v>
      </c>
      <c r="T16" s="73">
        <f t="shared" si="8"/>
        <v>4</v>
      </c>
      <c r="U16" s="41">
        <f t="shared" si="9"/>
        <v>2</v>
      </c>
      <c r="V16" s="15">
        <f>246.989+M16</f>
        <v>500.90200000000004</v>
      </c>
      <c r="W16" s="74">
        <f>V16/D16</f>
        <v>0.50198779961055773</v>
      </c>
      <c r="X16" s="41">
        <f t="shared" si="10"/>
        <v>4</v>
      </c>
      <c r="Y16" s="15">
        <f>194.904+P16</f>
        <v>347.15100000000001</v>
      </c>
      <c r="Z16" s="40">
        <f t="shared" si="11"/>
        <v>0.37031810035842294</v>
      </c>
      <c r="AA16" s="41">
        <f t="shared" si="12"/>
        <v>2</v>
      </c>
      <c r="AB16" s="15">
        <v>491.40499999999997</v>
      </c>
      <c r="AC16" s="39">
        <v>53.585000000000001</v>
      </c>
      <c r="AD16" s="40">
        <f t="shared" si="13"/>
        <v>0.10904447451694632</v>
      </c>
      <c r="AE16" s="41">
        <f t="shared" si="14"/>
        <v>2</v>
      </c>
      <c r="AF16" s="57">
        <f t="shared" si="15"/>
        <v>3.1428571428571428</v>
      </c>
      <c r="AG16" s="60">
        <f t="shared" si="18"/>
        <v>3</v>
      </c>
      <c r="AH16" s="58">
        <v>3</v>
      </c>
      <c r="AI16" s="59">
        <f t="shared" si="16"/>
        <v>9</v>
      </c>
      <c r="AJ16" s="60">
        <f t="shared" si="17"/>
        <v>3</v>
      </c>
      <c r="AK16" s="64">
        <v>3</v>
      </c>
      <c r="AL16" s="23">
        <v>2</v>
      </c>
      <c r="AM16" s="110">
        <v>7</v>
      </c>
      <c r="AN16" s="23">
        <f t="shared" si="19"/>
        <v>14</v>
      </c>
      <c r="AO16" s="111">
        <f t="shared" si="20"/>
        <v>3</v>
      </c>
    </row>
    <row r="17" spans="1:41" x14ac:dyDescent="0.2">
      <c r="A17" s="34">
        <v>16</v>
      </c>
      <c r="B17" s="47" t="s">
        <v>54</v>
      </c>
      <c r="C17" s="15">
        <v>18653.759999999998</v>
      </c>
      <c r="D17" s="39">
        <v>10650.651</v>
      </c>
      <c r="E17" s="39">
        <v>10344.918</v>
      </c>
      <c r="F17" s="39">
        <v>0</v>
      </c>
      <c r="G17" s="39">
        <v>56</v>
      </c>
      <c r="H17" s="40">
        <f t="shared" si="0"/>
        <v>0.55457548504966292</v>
      </c>
      <c r="I17" s="41">
        <f t="shared" si="1"/>
        <v>4</v>
      </c>
      <c r="J17" s="15">
        <v>201.32300000000001</v>
      </c>
      <c r="K17" s="40">
        <f t="shared" si="2"/>
        <v>1.9461053243727985E-2</v>
      </c>
      <c r="L17" s="41">
        <f t="shared" si="3"/>
        <v>1</v>
      </c>
      <c r="M17" s="15">
        <v>8396.1200000000008</v>
      </c>
      <c r="N17" s="40">
        <f t="shared" si="4"/>
        <v>0.81161783979341362</v>
      </c>
      <c r="O17" s="53">
        <f t="shared" si="5"/>
        <v>4</v>
      </c>
      <c r="P17" s="15">
        <v>831.21100000000001</v>
      </c>
      <c r="Q17" s="70">
        <f t="shared" si="6"/>
        <v>8.0349694410337527E-2</v>
      </c>
      <c r="R17" s="39">
        <f>194.057+M17</f>
        <v>8590.1770000000015</v>
      </c>
      <c r="S17" s="40">
        <f t="shared" si="22"/>
        <v>0.83037651917588928</v>
      </c>
      <c r="T17" s="73">
        <f t="shared" si="8"/>
        <v>8</v>
      </c>
      <c r="U17" s="41">
        <f t="shared" si="9"/>
        <v>4</v>
      </c>
      <c r="V17" s="15">
        <f>1384.065+M17</f>
        <v>9780.1850000000013</v>
      </c>
      <c r="W17" s="74">
        <f t="shared" ref="W17:W24" si="23">V17/E17</f>
        <v>0.94540962045325072</v>
      </c>
      <c r="X17" s="41">
        <f t="shared" si="10"/>
        <v>4</v>
      </c>
      <c r="Y17" s="15">
        <f>349.545+M17</f>
        <v>8745.6650000000009</v>
      </c>
      <c r="Z17" s="40">
        <f t="shared" si="11"/>
        <v>0.84540689447707573</v>
      </c>
      <c r="AA17" s="41">
        <f t="shared" si="12"/>
        <v>4</v>
      </c>
      <c r="AB17" s="15">
        <v>9652.125</v>
      </c>
      <c r="AC17" s="39">
        <v>1955.4159999999999</v>
      </c>
      <c r="AD17" s="40">
        <f t="shared" si="13"/>
        <v>0.20258917077845551</v>
      </c>
      <c r="AE17" s="41">
        <f t="shared" si="14"/>
        <v>3</v>
      </c>
      <c r="AF17" s="57">
        <f t="shared" si="15"/>
        <v>4</v>
      </c>
      <c r="AG17" s="60">
        <f t="shared" si="18"/>
        <v>4</v>
      </c>
      <c r="AH17" s="58">
        <v>3</v>
      </c>
      <c r="AI17" s="59">
        <f t="shared" si="16"/>
        <v>12</v>
      </c>
      <c r="AJ17" s="60">
        <f t="shared" si="17"/>
        <v>4</v>
      </c>
      <c r="AK17" s="65">
        <v>4</v>
      </c>
      <c r="AL17" s="23">
        <v>2</v>
      </c>
      <c r="AM17" s="110">
        <v>7</v>
      </c>
      <c r="AN17" s="23">
        <f t="shared" si="19"/>
        <v>14</v>
      </c>
      <c r="AO17" s="111">
        <f t="shared" si="20"/>
        <v>3</v>
      </c>
    </row>
    <row r="18" spans="1:41" x14ac:dyDescent="0.2">
      <c r="A18" s="34">
        <v>17</v>
      </c>
      <c r="B18" s="47" t="s">
        <v>55</v>
      </c>
      <c r="C18" s="15">
        <v>10455.64</v>
      </c>
      <c r="D18" s="39">
        <v>2571.8090000000002</v>
      </c>
      <c r="E18" s="39">
        <v>2501.6559999999999</v>
      </c>
      <c r="F18" s="39">
        <v>5.4290000000000003</v>
      </c>
      <c r="G18" s="39">
        <v>71</v>
      </c>
      <c r="H18" s="40">
        <f t="shared" si="0"/>
        <v>0.23926378490460651</v>
      </c>
      <c r="I18" s="41">
        <f t="shared" si="1"/>
        <v>3</v>
      </c>
      <c r="J18" s="15">
        <v>444.25</v>
      </c>
      <c r="K18" s="40">
        <f t="shared" si="2"/>
        <v>0.17758236943848396</v>
      </c>
      <c r="L18" s="41">
        <f t="shared" si="3"/>
        <v>3</v>
      </c>
      <c r="M18" s="15">
        <v>1181.454</v>
      </c>
      <c r="N18" s="40">
        <f t="shared" si="4"/>
        <v>0.47226876916730359</v>
      </c>
      <c r="O18" s="53">
        <f t="shared" si="5"/>
        <v>4</v>
      </c>
      <c r="P18" s="15">
        <v>461.85199999999998</v>
      </c>
      <c r="Q18" s="70">
        <f t="shared" si="6"/>
        <v>0.18461850869983723</v>
      </c>
      <c r="R18" s="39">
        <f>306.531+M18</f>
        <v>1487.9849999999999</v>
      </c>
      <c r="S18" s="40">
        <f t="shared" si="22"/>
        <v>0.59480000447703441</v>
      </c>
      <c r="T18" s="73">
        <f t="shared" si="8"/>
        <v>6</v>
      </c>
      <c r="U18" s="41">
        <f t="shared" si="9"/>
        <v>3</v>
      </c>
      <c r="V18" s="15">
        <f>608.48+M18</f>
        <v>1789.934</v>
      </c>
      <c r="W18" s="74">
        <f t="shared" si="23"/>
        <v>0.71549965302983309</v>
      </c>
      <c r="X18" s="41">
        <f t="shared" si="10"/>
        <v>4</v>
      </c>
      <c r="Y18" s="15">
        <f>M18+527.451</f>
        <v>1708.905</v>
      </c>
      <c r="Z18" s="40">
        <f t="shared" si="11"/>
        <v>0.68310950826172745</v>
      </c>
      <c r="AA18" s="41">
        <f t="shared" si="12"/>
        <v>3</v>
      </c>
      <c r="AB18" s="15">
        <v>1725.251</v>
      </c>
      <c r="AC18" s="39">
        <v>27.994</v>
      </c>
      <c r="AD18" s="40">
        <f t="shared" si="13"/>
        <v>1.622604479000447E-2</v>
      </c>
      <c r="AE18" s="41">
        <f t="shared" si="14"/>
        <v>1</v>
      </c>
      <c r="AF18" s="57">
        <f t="shared" si="15"/>
        <v>3.4285714285714284</v>
      </c>
      <c r="AG18" s="60">
        <f t="shared" si="18"/>
        <v>3</v>
      </c>
      <c r="AH18" s="58">
        <v>3</v>
      </c>
      <c r="AI18" s="59">
        <f t="shared" si="16"/>
        <v>9</v>
      </c>
      <c r="AJ18" s="60">
        <f t="shared" si="17"/>
        <v>3</v>
      </c>
      <c r="AK18" s="64">
        <v>3</v>
      </c>
      <c r="AL18" s="23">
        <v>2</v>
      </c>
      <c r="AM18" s="110">
        <v>7</v>
      </c>
      <c r="AN18" s="23">
        <f t="shared" si="19"/>
        <v>14</v>
      </c>
      <c r="AO18" s="111">
        <f t="shared" si="20"/>
        <v>3</v>
      </c>
    </row>
    <row r="19" spans="1:41" x14ac:dyDescent="0.2">
      <c r="A19" s="34">
        <v>18</v>
      </c>
      <c r="B19" s="47" t="s">
        <v>56</v>
      </c>
      <c r="C19" s="15">
        <v>6666.25</v>
      </c>
      <c r="D19" s="39">
        <v>1637.2809999999999</v>
      </c>
      <c r="E19" s="39">
        <v>1613.3489999999999</v>
      </c>
      <c r="F19" s="39">
        <v>0</v>
      </c>
      <c r="G19" s="39">
        <v>67</v>
      </c>
      <c r="H19" s="40">
        <f t="shared" si="0"/>
        <v>0.24201747609225577</v>
      </c>
      <c r="I19" s="41">
        <f t="shared" si="1"/>
        <v>3</v>
      </c>
      <c r="J19" s="15">
        <v>214.142</v>
      </c>
      <c r="K19" s="40">
        <f t="shared" si="2"/>
        <v>0.13273135570790945</v>
      </c>
      <c r="L19" s="41">
        <f t="shared" si="3"/>
        <v>2</v>
      </c>
      <c r="M19" s="15">
        <v>709.11699999999996</v>
      </c>
      <c r="N19" s="40">
        <f t="shared" si="4"/>
        <v>0.43953106240497253</v>
      </c>
      <c r="O19" s="53">
        <f t="shared" si="5"/>
        <v>4</v>
      </c>
      <c r="P19" s="15">
        <v>367.71899999999999</v>
      </c>
      <c r="Q19" s="70">
        <f t="shared" si="6"/>
        <v>0.22792278670021179</v>
      </c>
      <c r="R19" s="39">
        <f>159.928+M19</f>
        <v>869.04499999999996</v>
      </c>
      <c r="S19" s="40">
        <f t="shared" si="22"/>
        <v>0.53865902541855482</v>
      </c>
      <c r="T19" s="73">
        <f t="shared" si="8"/>
        <v>6</v>
      </c>
      <c r="U19" s="41">
        <f t="shared" si="9"/>
        <v>3</v>
      </c>
      <c r="V19" s="15">
        <f>M19+509.911</f>
        <v>1219.028</v>
      </c>
      <c r="W19" s="74">
        <f t="shared" si="23"/>
        <v>0.75558853044195651</v>
      </c>
      <c r="X19" s="41">
        <f t="shared" si="10"/>
        <v>4</v>
      </c>
      <c r="Y19" s="15">
        <f>382.857+M19</f>
        <v>1091.9739999999999</v>
      </c>
      <c r="Z19" s="40">
        <f t="shared" si="11"/>
        <v>0.67683681584083788</v>
      </c>
      <c r="AA19" s="41">
        <f t="shared" si="12"/>
        <v>3</v>
      </c>
      <c r="AB19" s="15">
        <v>1032.5530000000001</v>
      </c>
      <c r="AC19" s="39">
        <v>125.41800000000001</v>
      </c>
      <c r="AD19" s="40">
        <f t="shared" si="13"/>
        <v>0.12146398296261789</v>
      </c>
      <c r="AE19" s="41">
        <f t="shared" si="14"/>
        <v>2</v>
      </c>
      <c r="AF19" s="57">
        <f t="shared" si="15"/>
        <v>3.4285714285714284</v>
      </c>
      <c r="AG19" s="60">
        <f t="shared" si="18"/>
        <v>3</v>
      </c>
      <c r="AH19" s="58">
        <v>3</v>
      </c>
      <c r="AI19" s="59">
        <f t="shared" si="16"/>
        <v>9</v>
      </c>
      <c r="AJ19" s="60">
        <f t="shared" si="17"/>
        <v>3</v>
      </c>
      <c r="AK19" s="64">
        <v>3</v>
      </c>
      <c r="AL19" s="23">
        <v>2</v>
      </c>
      <c r="AM19" s="110">
        <v>7</v>
      </c>
      <c r="AN19" s="23">
        <f t="shared" si="19"/>
        <v>14</v>
      </c>
      <c r="AO19" s="111">
        <f t="shared" si="20"/>
        <v>3</v>
      </c>
    </row>
    <row r="20" spans="1:41" x14ac:dyDescent="0.2">
      <c r="A20" s="34">
        <v>19</v>
      </c>
      <c r="B20" s="47" t="s">
        <v>57</v>
      </c>
      <c r="C20" s="15">
        <v>12234.14</v>
      </c>
      <c r="D20" s="39">
        <v>1151.0070000000001</v>
      </c>
      <c r="E20" s="39">
        <v>1054.9580000000001</v>
      </c>
      <c r="F20" s="39">
        <v>21.718</v>
      </c>
      <c r="G20" s="50">
        <v>70</v>
      </c>
      <c r="H20" s="40">
        <f t="shared" si="0"/>
        <v>8.6230662719243054E-2</v>
      </c>
      <c r="I20" s="41">
        <f t="shared" si="1"/>
        <v>1</v>
      </c>
      <c r="J20" s="15">
        <v>461.91899999999998</v>
      </c>
      <c r="K20" s="40">
        <f t="shared" si="2"/>
        <v>0.43785534590002628</v>
      </c>
      <c r="L20" s="41">
        <f t="shared" si="3"/>
        <v>4</v>
      </c>
      <c r="M20" s="15">
        <v>18.145</v>
      </c>
      <c r="N20" s="40">
        <f t="shared" si="4"/>
        <v>1.7199736861562259E-2</v>
      </c>
      <c r="O20" s="53">
        <f t="shared" si="5"/>
        <v>4</v>
      </c>
      <c r="P20" s="15">
        <v>114.255</v>
      </c>
      <c r="Q20" s="70">
        <f t="shared" si="6"/>
        <v>0.10830288978328993</v>
      </c>
      <c r="R20" s="39">
        <f>315.159+M20</f>
        <v>333.30399999999997</v>
      </c>
      <c r="S20" s="40">
        <f t="shared" si="22"/>
        <v>0.31594053981295933</v>
      </c>
      <c r="T20" s="73">
        <f t="shared" si="8"/>
        <v>4</v>
      </c>
      <c r="U20" s="41">
        <f t="shared" si="9"/>
        <v>2</v>
      </c>
      <c r="V20" s="15">
        <f>233.594+M20</f>
        <v>251.739</v>
      </c>
      <c r="W20" s="74">
        <f t="shared" si="23"/>
        <v>0.23862466562649887</v>
      </c>
      <c r="X20" s="41">
        <f t="shared" si="10"/>
        <v>2</v>
      </c>
      <c r="Y20" s="15">
        <f>305.775+M20</f>
        <v>323.91999999999996</v>
      </c>
      <c r="Z20" s="40">
        <f t="shared" si="11"/>
        <v>0.30704539896375016</v>
      </c>
      <c r="AA20" s="41">
        <f t="shared" si="12"/>
        <v>2</v>
      </c>
      <c r="AB20" s="15">
        <v>490.83600000000001</v>
      </c>
      <c r="AC20" s="39">
        <v>175.952</v>
      </c>
      <c r="AD20" s="40">
        <f t="shared" si="13"/>
        <v>0.35847411355320308</v>
      </c>
      <c r="AE20" s="41">
        <f t="shared" si="14"/>
        <v>4</v>
      </c>
      <c r="AF20" s="57">
        <f t="shared" si="15"/>
        <v>3</v>
      </c>
      <c r="AG20" s="60">
        <f t="shared" si="18"/>
        <v>3</v>
      </c>
      <c r="AH20" s="58">
        <v>2</v>
      </c>
      <c r="AI20" s="59">
        <f t="shared" si="16"/>
        <v>6</v>
      </c>
      <c r="AJ20" s="60">
        <f t="shared" si="17"/>
        <v>3</v>
      </c>
      <c r="AK20" s="64">
        <v>3</v>
      </c>
      <c r="AL20" s="23">
        <v>2</v>
      </c>
      <c r="AM20" s="110">
        <v>7</v>
      </c>
      <c r="AN20" s="23">
        <f t="shared" si="19"/>
        <v>14</v>
      </c>
      <c r="AO20" s="111">
        <f t="shared" si="20"/>
        <v>3</v>
      </c>
    </row>
    <row r="21" spans="1:41" x14ac:dyDescent="0.2">
      <c r="A21" s="34">
        <v>20</v>
      </c>
      <c r="B21" s="47" t="s">
        <v>58</v>
      </c>
      <c r="C21" s="15">
        <v>5787.57</v>
      </c>
      <c r="D21" s="39">
        <v>2341.5990000000002</v>
      </c>
      <c r="E21" s="39">
        <v>2308.527</v>
      </c>
      <c r="F21" s="39">
        <v>12.855</v>
      </c>
      <c r="G21" s="39">
        <v>72</v>
      </c>
      <c r="H21" s="40">
        <f t="shared" si="0"/>
        <v>0.39887673064861423</v>
      </c>
      <c r="I21" s="41">
        <f t="shared" si="1"/>
        <v>4</v>
      </c>
      <c r="J21" s="15">
        <v>257.68400000000003</v>
      </c>
      <c r="K21" s="40">
        <f t="shared" si="2"/>
        <v>0.11162269273870308</v>
      </c>
      <c r="L21" s="41">
        <f t="shared" si="3"/>
        <v>2</v>
      </c>
      <c r="M21" s="15">
        <v>1525.846</v>
      </c>
      <c r="N21" s="40">
        <f t="shared" si="4"/>
        <v>0.66096086378890084</v>
      </c>
      <c r="O21" s="53">
        <f t="shared" si="5"/>
        <v>4</v>
      </c>
      <c r="P21" s="15">
        <v>398.709</v>
      </c>
      <c r="Q21" s="70">
        <f t="shared" si="6"/>
        <v>0.17271143027566929</v>
      </c>
      <c r="R21" s="39">
        <f>16.013+M21</f>
        <v>1541.8589999999999</v>
      </c>
      <c r="S21" s="40">
        <f t="shared" si="22"/>
        <v>0.66789732153879933</v>
      </c>
      <c r="T21" s="73">
        <f t="shared" si="8"/>
        <v>6</v>
      </c>
      <c r="U21" s="41">
        <f t="shared" si="9"/>
        <v>3</v>
      </c>
      <c r="V21" s="15">
        <f>552.653+M21</f>
        <v>2078.4989999999998</v>
      </c>
      <c r="W21" s="74">
        <f t="shared" si="23"/>
        <v>0.90035724078600765</v>
      </c>
      <c r="X21" s="41">
        <f t="shared" si="10"/>
        <v>4</v>
      </c>
      <c r="Y21" s="15">
        <f>378.926+M21</f>
        <v>1904.7719999999999</v>
      </c>
      <c r="Z21" s="40">
        <f t="shared" si="11"/>
        <v>0.82510276033158803</v>
      </c>
      <c r="AA21" s="41">
        <f t="shared" si="12"/>
        <v>4</v>
      </c>
      <c r="AB21" s="15">
        <v>1890.0609999999999</v>
      </c>
      <c r="AC21" s="39">
        <v>507.31599999999997</v>
      </c>
      <c r="AD21" s="40">
        <f t="shared" si="13"/>
        <v>0.26841250097219083</v>
      </c>
      <c r="AE21" s="41">
        <f t="shared" si="14"/>
        <v>4</v>
      </c>
      <c r="AF21" s="57">
        <f t="shared" si="15"/>
        <v>4</v>
      </c>
      <c r="AG21" s="60">
        <f t="shared" si="18"/>
        <v>4</v>
      </c>
      <c r="AH21" s="58">
        <v>3</v>
      </c>
      <c r="AI21" s="59">
        <f t="shared" si="16"/>
        <v>12</v>
      </c>
      <c r="AJ21" s="60">
        <f t="shared" si="17"/>
        <v>4</v>
      </c>
      <c r="AK21" s="65">
        <v>4</v>
      </c>
      <c r="AL21" s="23">
        <v>2</v>
      </c>
      <c r="AM21" s="110">
        <v>7</v>
      </c>
      <c r="AN21" s="23">
        <f t="shared" si="19"/>
        <v>14</v>
      </c>
      <c r="AO21" s="111">
        <f t="shared" si="20"/>
        <v>3</v>
      </c>
    </row>
    <row r="22" spans="1:41" x14ac:dyDescent="0.2">
      <c r="A22" s="34">
        <v>21</v>
      </c>
      <c r="B22" s="47" t="s">
        <v>59</v>
      </c>
      <c r="C22" s="15">
        <v>11054.75</v>
      </c>
      <c r="D22" s="39">
        <v>4153.817</v>
      </c>
      <c r="E22" s="39">
        <v>4060.7379999999998</v>
      </c>
      <c r="F22" s="39">
        <v>0</v>
      </c>
      <c r="G22" s="39">
        <v>72</v>
      </c>
      <c r="H22" s="40">
        <f t="shared" si="0"/>
        <v>0.36732969990275671</v>
      </c>
      <c r="I22" s="41">
        <f t="shared" si="1"/>
        <v>4</v>
      </c>
      <c r="J22" s="15">
        <v>228.774</v>
      </c>
      <c r="K22" s="40">
        <f t="shared" si="2"/>
        <v>5.6338035105933951E-2</v>
      </c>
      <c r="L22" s="41">
        <f t="shared" si="3"/>
        <v>2</v>
      </c>
      <c r="M22" s="15">
        <v>3007.3589999999999</v>
      </c>
      <c r="N22" s="40">
        <f t="shared" si="4"/>
        <v>0.74059419740943644</v>
      </c>
      <c r="O22" s="53">
        <f t="shared" si="5"/>
        <v>4</v>
      </c>
      <c r="P22" s="15">
        <v>536.50699999999995</v>
      </c>
      <c r="Q22" s="70">
        <f t="shared" si="6"/>
        <v>0.13212056527655811</v>
      </c>
      <c r="R22" s="39">
        <f>105.27+M22</f>
        <v>3112.6289999999999</v>
      </c>
      <c r="S22" s="40">
        <f t="shared" si="22"/>
        <v>0.76651805657001271</v>
      </c>
      <c r="T22" s="73">
        <f t="shared" si="8"/>
        <v>8</v>
      </c>
      <c r="U22" s="41">
        <f t="shared" si="9"/>
        <v>4</v>
      </c>
      <c r="V22" s="15">
        <f>709.604+M22</f>
        <v>3716.9629999999997</v>
      </c>
      <c r="W22" s="74">
        <f t="shared" si="23"/>
        <v>0.91534174329887819</v>
      </c>
      <c r="X22" s="41">
        <f t="shared" si="10"/>
        <v>4</v>
      </c>
      <c r="Y22" s="15">
        <f>M22+214.878</f>
        <v>3222.2370000000001</v>
      </c>
      <c r="Z22" s="40">
        <f t="shared" si="11"/>
        <v>0.7935101944523385</v>
      </c>
      <c r="AA22" s="41">
        <f t="shared" si="12"/>
        <v>3</v>
      </c>
      <c r="AB22" s="15">
        <v>3660.2280000000001</v>
      </c>
      <c r="AC22" s="39">
        <v>659.01300000000003</v>
      </c>
      <c r="AD22" s="40">
        <f t="shared" si="13"/>
        <v>0.18004698067989208</v>
      </c>
      <c r="AE22" s="41">
        <f t="shared" si="14"/>
        <v>3</v>
      </c>
      <c r="AF22" s="57">
        <f t="shared" si="15"/>
        <v>4</v>
      </c>
      <c r="AG22" s="60">
        <f t="shared" si="18"/>
        <v>4</v>
      </c>
      <c r="AH22" s="58">
        <v>3</v>
      </c>
      <c r="AI22" s="59">
        <f t="shared" si="16"/>
        <v>12</v>
      </c>
      <c r="AJ22" s="60">
        <f t="shared" si="17"/>
        <v>4</v>
      </c>
      <c r="AK22" s="65">
        <v>4</v>
      </c>
      <c r="AL22" s="23">
        <v>2</v>
      </c>
      <c r="AM22" s="110">
        <v>7</v>
      </c>
      <c r="AN22" s="23">
        <f t="shared" si="19"/>
        <v>14</v>
      </c>
      <c r="AO22" s="111">
        <f t="shared" si="20"/>
        <v>3</v>
      </c>
    </row>
    <row r="23" spans="1:41" x14ac:dyDescent="0.2">
      <c r="A23" s="34">
        <v>22</v>
      </c>
      <c r="B23" s="47" t="s">
        <v>60</v>
      </c>
      <c r="C23" s="15">
        <v>10929.79</v>
      </c>
      <c r="D23" s="39">
        <f>1984.319+357.178+1342.102</f>
        <v>3683.5990000000002</v>
      </c>
      <c r="E23" s="39">
        <f>1935.564+357.178+1217.851</f>
        <v>3510.5930000000003</v>
      </c>
      <c r="F23" s="39">
        <v>432.149</v>
      </c>
      <c r="G23" s="39">
        <v>71</v>
      </c>
      <c r="H23" s="40">
        <f t="shared" si="0"/>
        <v>0.32119491774315884</v>
      </c>
      <c r="I23" s="41">
        <f t="shared" si="1"/>
        <v>4</v>
      </c>
      <c r="J23" s="15">
        <f>220.846+0.002</f>
        <v>220.84800000000001</v>
      </c>
      <c r="K23" s="40">
        <f t="shared" si="2"/>
        <v>6.2909029898937305E-2</v>
      </c>
      <c r="L23" s="41">
        <f t="shared" si="3"/>
        <v>2</v>
      </c>
      <c r="M23" s="15">
        <f>1130.688+1034.969</f>
        <v>2165.6570000000002</v>
      </c>
      <c r="N23" s="40">
        <f t="shared" si="4"/>
        <v>0.61689207492865161</v>
      </c>
      <c r="O23" s="53">
        <f t="shared" si="5"/>
        <v>4</v>
      </c>
      <c r="P23" s="15">
        <f>426.538+102.523+23.1</f>
        <v>552.16100000000006</v>
      </c>
      <c r="Q23" s="70">
        <f t="shared" si="6"/>
        <v>0.15728425368591575</v>
      </c>
      <c r="R23" s="39">
        <f>51.299+M23</f>
        <v>2216.9560000000001</v>
      </c>
      <c r="S23" s="40">
        <f t="shared" si="22"/>
        <v>0.63150470590011432</v>
      </c>
      <c r="T23" s="73">
        <f t="shared" si="8"/>
        <v>6</v>
      </c>
      <c r="U23" s="41">
        <f t="shared" si="9"/>
        <v>3</v>
      </c>
      <c r="V23" s="15">
        <f>525.727+M23+102.523+34.556+0.034</f>
        <v>2828.4970000000003</v>
      </c>
      <c r="W23" s="74">
        <f t="shared" si="23"/>
        <v>0.80570348086491372</v>
      </c>
      <c r="X23" s="41">
        <f t="shared" si="10"/>
        <v>4</v>
      </c>
      <c r="Y23" s="15">
        <f>231.043+M23+102.523</f>
        <v>2499.2230000000004</v>
      </c>
      <c r="Z23" s="40">
        <f t="shared" si="11"/>
        <v>0.71190907063279629</v>
      </c>
      <c r="AA23" s="41">
        <f t="shared" si="12"/>
        <v>3</v>
      </c>
      <c r="AB23" s="15">
        <v>1436.336</v>
      </c>
      <c r="AC23" s="39">
        <v>289.625</v>
      </c>
      <c r="AD23" s="40">
        <f t="shared" si="13"/>
        <v>0.20164153791313452</v>
      </c>
      <c r="AE23" s="41">
        <f t="shared" si="14"/>
        <v>3</v>
      </c>
      <c r="AF23" s="57">
        <f t="shared" si="15"/>
        <v>3.7142857142857144</v>
      </c>
      <c r="AG23" s="60">
        <f t="shared" si="18"/>
        <v>4</v>
      </c>
      <c r="AH23" s="58">
        <v>4</v>
      </c>
      <c r="AI23" s="59">
        <f t="shared" si="16"/>
        <v>16</v>
      </c>
      <c r="AJ23" s="60">
        <f t="shared" si="17"/>
        <v>4</v>
      </c>
      <c r="AK23" s="65">
        <v>4</v>
      </c>
      <c r="AL23" s="23">
        <v>2</v>
      </c>
      <c r="AM23" s="110">
        <v>7</v>
      </c>
      <c r="AN23" s="23">
        <f t="shared" si="19"/>
        <v>14</v>
      </c>
      <c r="AO23" s="111">
        <f t="shared" si="20"/>
        <v>3</v>
      </c>
    </row>
    <row r="24" spans="1:41" x14ac:dyDescent="0.2">
      <c r="A24" s="34">
        <v>23</v>
      </c>
      <c r="B24" s="47" t="s">
        <v>61</v>
      </c>
      <c r="C24" s="15">
        <v>8797.7000000000007</v>
      </c>
      <c r="D24" s="39">
        <v>3556.8110000000001</v>
      </c>
      <c r="E24" s="39">
        <v>3448.5309999999999</v>
      </c>
      <c r="F24" s="39">
        <v>6.1180000000000003</v>
      </c>
      <c r="G24" s="39">
        <v>72</v>
      </c>
      <c r="H24" s="40">
        <f t="shared" si="0"/>
        <v>0.39198097229957823</v>
      </c>
      <c r="I24" s="41">
        <f t="shared" si="1"/>
        <v>4</v>
      </c>
      <c r="J24" s="15">
        <v>469.95800000000003</v>
      </c>
      <c r="K24" s="40">
        <f t="shared" si="2"/>
        <v>0.13627773681025343</v>
      </c>
      <c r="L24" s="41">
        <f t="shared" si="3"/>
        <v>2</v>
      </c>
      <c r="M24" s="15">
        <v>2232.8560000000002</v>
      </c>
      <c r="N24" s="40">
        <f t="shared" si="4"/>
        <v>0.6474803329301666</v>
      </c>
      <c r="O24" s="53">
        <f t="shared" si="5"/>
        <v>4</v>
      </c>
      <c r="P24" s="15">
        <v>500.99200000000002</v>
      </c>
      <c r="Q24" s="70">
        <f t="shared" si="6"/>
        <v>0.14527693095987829</v>
      </c>
      <c r="R24" s="39">
        <f>80.369+M24</f>
        <v>2313.2250000000004</v>
      </c>
      <c r="S24" s="40">
        <f t="shared" si="22"/>
        <v>0.67078561857208197</v>
      </c>
      <c r="T24" s="73">
        <f t="shared" si="8"/>
        <v>6</v>
      </c>
      <c r="U24" s="41">
        <f t="shared" si="9"/>
        <v>3</v>
      </c>
      <c r="V24" s="15">
        <f>693.54+M24</f>
        <v>2926.3960000000002</v>
      </c>
      <c r="W24" s="74">
        <f t="shared" si="23"/>
        <v>0.84859205267402271</v>
      </c>
      <c r="X24" s="41">
        <f t="shared" si="10"/>
        <v>4</v>
      </c>
      <c r="Y24" s="15">
        <f>370.379+M24</f>
        <v>2603.2350000000001</v>
      </c>
      <c r="Z24" s="40">
        <f t="shared" si="11"/>
        <v>0.7548822962588998</v>
      </c>
      <c r="AA24" s="41">
        <f t="shared" si="12"/>
        <v>3</v>
      </c>
      <c r="AB24" s="15">
        <v>2788.0230000000001</v>
      </c>
      <c r="AC24" s="39">
        <v>194.31899999999999</v>
      </c>
      <c r="AD24" s="40">
        <f t="shared" si="13"/>
        <v>6.9697775090090716E-2</v>
      </c>
      <c r="AE24" s="41">
        <f t="shared" si="14"/>
        <v>2</v>
      </c>
      <c r="AF24" s="57">
        <f t="shared" si="15"/>
        <v>3.5714285714285716</v>
      </c>
      <c r="AG24" s="60">
        <f t="shared" si="18"/>
        <v>4</v>
      </c>
      <c r="AH24" s="58">
        <v>3</v>
      </c>
      <c r="AI24" s="59">
        <f t="shared" si="16"/>
        <v>12</v>
      </c>
      <c r="AJ24" s="60">
        <f t="shared" si="17"/>
        <v>4</v>
      </c>
      <c r="AK24" s="65">
        <v>4</v>
      </c>
      <c r="AL24" s="23">
        <v>2</v>
      </c>
      <c r="AM24" s="110">
        <v>7</v>
      </c>
      <c r="AN24" s="23">
        <f t="shared" si="19"/>
        <v>14</v>
      </c>
      <c r="AO24" s="111">
        <f t="shared" si="20"/>
        <v>3</v>
      </c>
    </row>
    <row r="25" spans="1:41" x14ac:dyDescent="0.2">
      <c r="A25" s="34">
        <v>24</v>
      </c>
      <c r="B25" s="47" t="s">
        <v>62</v>
      </c>
      <c r="C25" s="15">
        <v>8600.08</v>
      </c>
      <c r="D25" s="39">
        <v>2923.17</v>
      </c>
      <c r="E25" s="39">
        <v>2876.317</v>
      </c>
      <c r="F25" s="39">
        <v>0</v>
      </c>
      <c r="G25" s="39">
        <v>70</v>
      </c>
      <c r="H25" s="40">
        <f t="shared" si="0"/>
        <v>0.33445235393159134</v>
      </c>
      <c r="I25" s="41">
        <f t="shared" si="1"/>
        <v>4</v>
      </c>
      <c r="J25" s="15">
        <v>914.57399999999996</v>
      </c>
      <c r="K25" s="40">
        <f t="shared" si="2"/>
        <v>0.31796703909895885</v>
      </c>
      <c r="L25" s="41">
        <f t="shared" si="3"/>
        <v>4</v>
      </c>
      <c r="M25" s="15">
        <v>950.33</v>
      </c>
      <c r="N25" s="40">
        <f t="shared" si="4"/>
        <v>0.33039821410505171</v>
      </c>
      <c r="O25" s="53">
        <f t="shared" si="5"/>
        <v>4</v>
      </c>
      <c r="P25" s="15">
        <v>493.38099999999997</v>
      </c>
      <c r="Q25" s="70">
        <f t="shared" si="6"/>
        <v>0.17153220594252996</v>
      </c>
      <c r="R25" s="39">
        <f>390.792+M25</f>
        <v>1341.1220000000001</v>
      </c>
      <c r="S25" s="40">
        <f t="shared" si="22"/>
        <v>0.46626362810496896</v>
      </c>
      <c r="T25" s="73">
        <f t="shared" si="8"/>
        <v>4</v>
      </c>
      <c r="U25" s="41">
        <f t="shared" si="9"/>
        <v>2</v>
      </c>
      <c r="V25" s="15">
        <f>818.411+M25</f>
        <v>1768.741</v>
      </c>
      <c r="W25" s="74">
        <f>V25/D25</f>
        <v>0.60507633835869956</v>
      </c>
      <c r="X25" s="41">
        <f t="shared" si="10"/>
        <v>4</v>
      </c>
      <c r="Y25" s="15">
        <f>758.553+M25</f>
        <v>1708.883</v>
      </c>
      <c r="Z25" s="40">
        <f t="shared" si="11"/>
        <v>0.59412192745097292</v>
      </c>
      <c r="AA25" s="41">
        <f t="shared" si="12"/>
        <v>3</v>
      </c>
      <c r="AB25" s="15">
        <v>1816.8920000000001</v>
      </c>
      <c r="AC25" s="39">
        <v>769.34</v>
      </c>
      <c r="AD25" s="40">
        <f t="shared" si="13"/>
        <v>0.42343738648197032</v>
      </c>
      <c r="AE25" s="41">
        <f t="shared" si="14"/>
        <v>4</v>
      </c>
      <c r="AF25" s="57">
        <f t="shared" si="15"/>
        <v>3.8571428571428572</v>
      </c>
      <c r="AG25" s="60">
        <f t="shared" si="18"/>
        <v>4</v>
      </c>
      <c r="AH25" s="58">
        <v>3</v>
      </c>
      <c r="AI25" s="59">
        <f t="shared" si="16"/>
        <v>12</v>
      </c>
      <c r="AJ25" s="60">
        <f t="shared" si="17"/>
        <v>4</v>
      </c>
      <c r="AK25" s="65">
        <v>4</v>
      </c>
      <c r="AL25" s="23">
        <v>2</v>
      </c>
      <c r="AM25" s="110">
        <v>7</v>
      </c>
      <c r="AN25" s="23">
        <f t="shared" si="19"/>
        <v>14</v>
      </c>
      <c r="AO25" s="111">
        <f t="shared" si="20"/>
        <v>3</v>
      </c>
    </row>
    <row r="26" spans="1:41" x14ac:dyDescent="0.2">
      <c r="A26" s="34">
        <v>25</v>
      </c>
      <c r="B26" s="47" t="s">
        <v>63</v>
      </c>
      <c r="C26" s="15">
        <v>3738.95</v>
      </c>
      <c r="D26" s="39">
        <f>2354.048+134.417</f>
        <v>2488.4649999999997</v>
      </c>
      <c r="E26" s="39">
        <f>2274.783+132.795</f>
        <v>2407.578</v>
      </c>
      <c r="F26" s="39">
        <v>18.253</v>
      </c>
      <c r="G26" s="39">
        <v>65</v>
      </c>
      <c r="H26" s="40">
        <f t="shared" si="0"/>
        <v>0.64391821233233937</v>
      </c>
      <c r="I26" s="41">
        <f t="shared" si="1"/>
        <v>4</v>
      </c>
      <c r="J26" s="15">
        <v>104.563</v>
      </c>
      <c r="K26" s="40">
        <f t="shared" si="2"/>
        <v>4.3430783966293095E-2</v>
      </c>
      <c r="L26" s="41">
        <f t="shared" si="3"/>
        <v>1</v>
      </c>
      <c r="M26" s="15">
        <f>1642+132.495</f>
        <v>1774.4949999999999</v>
      </c>
      <c r="N26" s="40">
        <f t="shared" si="4"/>
        <v>0.73704569488506699</v>
      </c>
      <c r="O26" s="53">
        <f t="shared" si="5"/>
        <v>4</v>
      </c>
      <c r="P26" s="15">
        <v>416.15699999999998</v>
      </c>
      <c r="Q26" s="70">
        <f t="shared" si="6"/>
        <v>0.17285296675746331</v>
      </c>
      <c r="R26" s="39">
        <f>14.44+M26</f>
        <v>1788.9349999999999</v>
      </c>
      <c r="S26" s="40">
        <f t="shared" si="22"/>
        <v>0.7430434237229282</v>
      </c>
      <c r="T26" s="73">
        <f t="shared" si="8"/>
        <v>8</v>
      </c>
      <c r="U26" s="41">
        <f t="shared" si="9"/>
        <v>4</v>
      </c>
      <c r="V26" s="15">
        <f>M26+588.519</f>
        <v>2363.0140000000001</v>
      </c>
      <c r="W26" s="74">
        <f>V26/E26</f>
        <v>0.98149011163916611</v>
      </c>
      <c r="X26" s="41">
        <f t="shared" si="10"/>
        <v>4</v>
      </c>
      <c r="Y26" s="15">
        <f>M26+241.035</f>
        <v>2015.53</v>
      </c>
      <c r="Z26" s="40">
        <f t="shared" si="11"/>
        <v>0.83716083134170527</v>
      </c>
      <c r="AA26" s="41">
        <f t="shared" si="12"/>
        <v>4</v>
      </c>
      <c r="AB26" s="15">
        <v>2021.9949999999999</v>
      </c>
      <c r="AC26" s="39">
        <v>103.97</v>
      </c>
      <c r="AD26" s="40">
        <f t="shared" si="13"/>
        <v>5.1419513895929518E-2</v>
      </c>
      <c r="AE26" s="41">
        <f t="shared" si="14"/>
        <v>2</v>
      </c>
      <c r="AF26" s="57">
        <f t="shared" si="15"/>
        <v>3.8571428571428572</v>
      </c>
      <c r="AG26" s="60">
        <f t="shared" si="18"/>
        <v>4</v>
      </c>
      <c r="AH26" s="58">
        <v>3</v>
      </c>
      <c r="AI26" s="59">
        <f t="shared" si="16"/>
        <v>12</v>
      </c>
      <c r="AJ26" s="60">
        <f t="shared" si="17"/>
        <v>4</v>
      </c>
      <c r="AK26" s="65">
        <v>4</v>
      </c>
      <c r="AL26" s="23">
        <v>2</v>
      </c>
      <c r="AM26" s="110">
        <v>7</v>
      </c>
      <c r="AN26" s="23">
        <f t="shared" si="19"/>
        <v>14</v>
      </c>
      <c r="AO26" s="111">
        <f t="shared" si="20"/>
        <v>3</v>
      </c>
    </row>
    <row r="27" spans="1:41" ht="15.75" thickBot="1" x14ac:dyDescent="0.25">
      <c r="A27" s="37">
        <v>26</v>
      </c>
      <c r="B27" s="51" t="s">
        <v>64</v>
      </c>
      <c r="C27" s="44">
        <v>8155.45</v>
      </c>
      <c r="D27" s="52">
        <v>3218.0309999999999</v>
      </c>
      <c r="E27" s="52">
        <v>3163.826</v>
      </c>
      <c r="F27" s="52">
        <v>0</v>
      </c>
      <c r="G27" s="52">
        <v>62</v>
      </c>
      <c r="H27" s="45">
        <f t="shared" si="0"/>
        <v>0.38794008914284311</v>
      </c>
      <c r="I27" s="46">
        <f t="shared" si="1"/>
        <v>4</v>
      </c>
      <c r="J27" s="44">
        <v>174.58099999999999</v>
      </c>
      <c r="K27" s="45">
        <f t="shared" si="2"/>
        <v>5.5180341776064797E-2</v>
      </c>
      <c r="L27" s="46">
        <f t="shared" si="3"/>
        <v>2</v>
      </c>
      <c r="M27" s="44">
        <v>2280.2869999999998</v>
      </c>
      <c r="N27" s="45">
        <f t="shared" si="4"/>
        <v>0.72073717075464949</v>
      </c>
      <c r="O27" s="54">
        <f t="shared" si="5"/>
        <v>4</v>
      </c>
      <c r="P27" s="44">
        <v>476.44</v>
      </c>
      <c r="Q27" s="72">
        <f t="shared" si="6"/>
        <v>0.15058982383986982</v>
      </c>
      <c r="R27" s="52">
        <f>M27+52.756</f>
        <v>2333.0429999999997</v>
      </c>
      <c r="S27" s="45">
        <f t="shared" si="22"/>
        <v>0.73741191835454911</v>
      </c>
      <c r="T27" s="77">
        <f t="shared" si="8"/>
        <v>8</v>
      </c>
      <c r="U27" s="46">
        <f t="shared" si="9"/>
        <v>4</v>
      </c>
      <c r="V27" s="44">
        <f>659.567+M27</f>
        <v>2939.8539999999998</v>
      </c>
      <c r="W27" s="78">
        <f>V27/D27</f>
        <v>0.91355676809825637</v>
      </c>
      <c r="X27" s="46">
        <f t="shared" si="10"/>
        <v>4</v>
      </c>
      <c r="Y27" s="44">
        <f>505.368+M27</f>
        <v>2785.6549999999997</v>
      </c>
      <c r="Z27" s="45">
        <f t="shared" si="11"/>
        <v>0.88047035456437861</v>
      </c>
      <c r="AA27" s="46">
        <f t="shared" si="12"/>
        <v>4</v>
      </c>
      <c r="AB27" s="44">
        <v>2568.8589999999999</v>
      </c>
      <c r="AC27" s="52">
        <v>426.37599999999998</v>
      </c>
      <c r="AD27" s="45">
        <f t="shared" si="13"/>
        <v>0.16597874776311194</v>
      </c>
      <c r="AE27" s="46">
        <f t="shared" si="14"/>
        <v>3</v>
      </c>
      <c r="AF27" s="57">
        <f t="shared" si="15"/>
        <v>4.1428571428571432</v>
      </c>
      <c r="AG27" s="61">
        <f t="shared" si="18"/>
        <v>4</v>
      </c>
      <c r="AH27" s="58">
        <v>3</v>
      </c>
      <c r="AI27" s="59">
        <f t="shared" si="16"/>
        <v>12</v>
      </c>
      <c r="AJ27" s="61">
        <f t="shared" si="17"/>
        <v>4</v>
      </c>
      <c r="AK27" s="66">
        <v>4</v>
      </c>
      <c r="AL27" s="23">
        <v>2</v>
      </c>
      <c r="AM27" s="110">
        <v>7</v>
      </c>
      <c r="AN27" s="23">
        <f t="shared" si="19"/>
        <v>14</v>
      </c>
      <c r="AO27" s="111">
        <f t="shared" si="20"/>
        <v>3</v>
      </c>
    </row>
    <row r="28" spans="1:41" x14ac:dyDescent="0.25">
      <c r="O28" s="25"/>
    </row>
  </sheetData>
  <sortState xmlns:xlrd2="http://schemas.microsoft.com/office/spreadsheetml/2017/richdata2" ref="A2:AO27">
    <sortCondition ref="A2:A27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27"/>
  <sheetViews>
    <sheetView topLeftCell="T1" zoomScale="80" zoomScaleNormal="80" workbookViewId="0">
      <selection activeCell="AA29" sqref="AA29"/>
    </sheetView>
  </sheetViews>
  <sheetFormatPr defaultColWidth="8.7109375" defaultRowHeight="12.75" x14ac:dyDescent="0.2"/>
  <cols>
    <col min="1" max="1" width="8.140625" style="2" customWidth="1"/>
    <col min="2" max="2" width="25.5703125" style="2" customWidth="1"/>
    <col min="3" max="3" width="13" style="2" customWidth="1"/>
    <col min="4" max="4" width="15.5703125" style="6" customWidth="1"/>
    <col min="5" max="6" width="14.140625" style="6" customWidth="1"/>
    <col min="7" max="7" width="14.7109375" style="2" customWidth="1"/>
    <col min="8" max="8" width="14.140625" style="2" customWidth="1"/>
    <col min="9" max="9" width="15.7109375" style="2" customWidth="1"/>
    <col min="10" max="12" width="15.140625" style="2" customWidth="1"/>
    <col min="13" max="13" width="21.7109375" style="2" customWidth="1"/>
    <col min="14" max="14" width="14.7109375" style="2" customWidth="1"/>
    <col min="15" max="15" width="17" style="3" customWidth="1"/>
    <col min="16" max="16" width="15.5703125" style="2" customWidth="1"/>
    <col min="17" max="17" width="14.42578125" style="2" customWidth="1"/>
    <col min="18" max="18" width="15.140625" style="3" customWidth="1"/>
    <col min="19" max="19" width="19.5703125" style="2" customWidth="1"/>
    <col min="20" max="20" width="17.7109375" style="2" customWidth="1"/>
    <col min="21" max="21" width="15.5703125" style="3" customWidth="1"/>
    <col min="22" max="22" width="19.140625" style="2" customWidth="1"/>
    <col min="23" max="23" width="16.5703125" style="2" customWidth="1"/>
    <col min="24" max="24" width="20.85546875" style="2" customWidth="1"/>
    <col min="25" max="25" width="17.5703125" style="2" customWidth="1"/>
    <col min="26" max="26" width="15.7109375" style="8" customWidth="1"/>
    <col min="27" max="27" width="15.42578125" style="1" customWidth="1"/>
    <col min="28" max="28" width="14.5703125" style="1" customWidth="1"/>
    <col min="29" max="29" width="15.140625" style="1" customWidth="1"/>
    <col min="30" max="30" width="16" style="1" customWidth="1"/>
    <col min="31" max="31" width="15.140625" style="1" customWidth="1"/>
    <col min="32" max="32" width="14.5703125" style="1" customWidth="1"/>
    <col min="33" max="33" width="18" style="1" customWidth="1"/>
    <col min="34" max="34" width="16.28515625" style="1" customWidth="1"/>
    <col min="35" max="35" width="14.42578125" style="3" customWidth="1"/>
    <col min="36" max="16384" width="8.7109375" style="2"/>
  </cols>
  <sheetData>
    <row r="1" spans="1:35" ht="114.75" x14ac:dyDescent="0.2">
      <c r="A1" s="32" t="s">
        <v>0</v>
      </c>
      <c r="B1" s="33" t="s">
        <v>1</v>
      </c>
      <c r="C1" s="12" t="s">
        <v>2</v>
      </c>
      <c r="D1" s="13" t="s">
        <v>3</v>
      </c>
      <c r="E1" s="13" t="s">
        <v>4</v>
      </c>
      <c r="F1" s="13" t="s">
        <v>66</v>
      </c>
      <c r="G1" s="13" t="s">
        <v>6</v>
      </c>
      <c r="H1" s="13" t="s">
        <v>7</v>
      </c>
      <c r="I1" s="14" t="s">
        <v>8</v>
      </c>
      <c r="J1" s="12" t="s">
        <v>12</v>
      </c>
      <c r="K1" s="13" t="s">
        <v>13</v>
      </c>
      <c r="L1" s="14" t="s">
        <v>75</v>
      </c>
      <c r="M1" s="12" t="s">
        <v>15</v>
      </c>
      <c r="N1" s="13" t="s">
        <v>89</v>
      </c>
      <c r="O1" s="14" t="s">
        <v>78</v>
      </c>
      <c r="P1" s="12" t="s">
        <v>18</v>
      </c>
      <c r="Q1" s="13" t="s">
        <v>19</v>
      </c>
      <c r="R1" s="14" t="s">
        <v>17</v>
      </c>
      <c r="S1" s="12" t="s">
        <v>22</v>
      </c>
      <c r="T1" s="13" t="s">
        <v>23</v>
      </c>
      <c r="U1" s="14" t="s">
        <v>21</v>
      </c>
      <c r="V1" s="20" t="s">
        <v>25</v>
      </c>
      <c r="W1" s="13" t="s">
        <v>26</v>
      </c>
      <c r="X1" s="13" t="s">
        <v>74</v>
      </c>
      <c r="Y1" s="14" t="s">
        <v>24</v>
      </c>
      <c r="Z1" s="21" t="s">
        <v>29</v>
      </c>
      <c r="AA1" s="22" t="s">
        <v>30</v>
      </c>
      <c r="AB1" s="11" t="s">
        <v>31</v>
      </c>
      <c r="AC1" s="24" t="s">
        <v>32</v>
      </c>
      <c r="AD1" s="22" t="s">
        <v>33</v>
      </c>
      <c r="AE1" s="22" t="s">
        <v>34</v>
      </c>
      <c r="AF1" s="10" t="s">
        <v>35</v>
      </c>
      <c r="AG1" s="10" t="s">
        <v>36</v>
      </c>
      <c r="AH1" s="10" t="s">
        <v>37</v>
      </c>
      <c r="AI1" s="10" t="s">
        <v>38</v>
      </c>
    </row>
    <row r="2" spans="1:35" ht="15" x14ac:dyDescent="0.2">
      <c r="A2" s="34">
        <v>1</v>
      </c>
      <c r="B2" s="35" t="s">
        <v>39</v>
      </c>
      <c r="C2" s="15">
        <v>24016.080000000002</v>
      </c>
      <c r="D2" s="39">
        <v>6385.7330000000002</v>
      </c>
      <c r="E2" s="39">
        <v>6168.7169999999996</v>
      </c>
      <c r="F2" s="39">
        <v>36.640999999999998</v>
      </c>
      <c r="G2" s="39">
        <v>67</v>
      </c>
      <c r="H2" s="40">
        <f t="shared" ref="H2:H27" si="0">E2/C2</f>
        <v>0.25685778028720752</v>
      </c>
      <c r="I2" s="41">
        <f t="shared" ref="I2:I27" si="1">IF(H2&lt;10%,1,IF(H2&lt;20%,2,IF(H2&lt;30%,3,4)))</f>
        <v>3</v>
      </c>
      <c r="J2" s="15">
        <f>906.724+13.734</f>
        <v>920.45800000000008</v>
      </c>
      <c r="K2" s="40">
        <f t="shared" ref="K2:K27" si="2">J2/E2</f>
        <v>0.14921384787144557</v>
      </c>
      <c r="L2" s="53">
        <f t="shared" ref="L2:L27" si="3">IF(K2&lt;5%,1,IF(K2&lt;20%,2,IF(K2&lt;40%,3,4)))</f>
        <v>2</v>
      </c>
      <c r="M2" s="15">
        <f>1794.6+J2</f>
        <v>2715.058</v>
      </c>
      <c r="N2" s="74">
        <f>M2/E2</f>
        <v>0.44013333728877496</v>
      </c>
      <c r="O2" s="41">
        <f t="shared" ref="O2:O27" si="4">IF(N2&lt;10%,1,IF(N2&lt;30%,2,IF(N2&lt;50%,3,IF(N2&gt;50%,4))))</f>
        <v>3</v>
      </c>
      <c r="P2" s="15">
        <f>2076.492+J2</f>
        <v>2996.9500000000003</v>
      </c>
      <c r="Q2" s="40">
        <f t="shared" ref="Q2:Q27" si="5">P2/E2</f>
        <v>0.48583035986251283</v>
      </c>
      <c r="R2" s="41">
        <f t="shared" ref="R2:R27" si="6">IF(Q2&lt;10%,1,IF(Q2&lt;40%,2,IF(Q2&lt;60%,3,IF(Q2&gt;60%,4))))</f>
        <v>3</v>
      </c>
      <c r="S2" s="15">
        <v>2661.2779999999998</v>
      </c>
      <c r="T2" s="40">
        <f t="shared" ref="T2:T27" si="7">S2/E2</f>
        <v>0.43141515488552967</v>
      </c>
      <c r="U2" s="41">
        <f t="shared" ref="U2:U27" si="8">IF(T2&lt;10%,1,IF(T2&lt;50%,2,IF(T2&lt;80%,3,IF(T2&gt;80%,4))))</f>
        <v>2</v>
      </c>
      <c r="V2" s="15">
        <v>2752.9920000000002</v>
      </c>
      <c r="W2" s="39">
        <v>986.7</v>
      </c>
      <c r="X2" s="40">
        <f t="shared" ref="X2:X27" si="9">W2/V2</f>
        <v>0.35841004986574604</v>
      </c>
      <c r="Y2" s="41">
        <f t="shared" ref="Y2:Y27" si="10">IF(X2&lt;5%,1,IF(X2&lt;15%,2,IF(X2&lt;25%,3,IF(X2&lt;40,4))))</f>
        <v>4</v>
      </c>
      <c r="Z2" s="57">
        <f t="shared" ref="Z2:Z27" si="11">(Y2+U2+R2+O2+L2+I2)/6</f>
        <v>2.8333333333333335</v>
      </c>
      <c r="AA2" s="60">
        <f t="shared" ref="AA2:AA27" si="12">IF(Z2&lt;1.5,1,IF(Z2&lt;2.5,2,IF(Z2&lt;3.5,3,4)))</f>
        <v>3</v>
      </c>
      <c r="AB2" s="58">
        <v>2</v>
      </c>
      <c r="AC2" s="59">
        <f t="shared" ref="AC2:AC27" si="13">AA2*AB2</f>
        <v>6</v>
      </c>
      <c r="AD2" s="60">
        <f t="shared" ref="AD2:AD27" si="14">IF(AC2&lt;3,1,IF(AC2&lt;5,2,IF(AC2&lt;12,3,4)))</f>
        <v>3</v>
      </c>
      <c r="AE2" s="79">
        <v>3</v>
      </c>
      <c r="AF2" s="23">
        <v>2</v>
      </c>
      <c r="AG2" s="48">
        <v>6</v>
      </c>
      <c r="AH2" s="23">
        <f>AF2*AG2</f>
        <v>12</v>
      </c>
      <c r="AI2" s="94">
        <f>IF(AH2&lt;6,1,IF(AH2&lt;12,2,IF(AH2&lt;18,3,4)))</f>
        <v>3</v>
      </c>
    </row>
    <row r="3" spans="1:35" ht="15" x14ac:dyDescent="0.2">
      <c r="A3" s="34">
        <v>2</v>
      </c>
      <c r="B3" s="35" t="s">
        <v>40</v>
      </c>
      <c r="C3" s="15">
        <v>3218.24</v>
      </c>
      <c r="D3" s="39">
        <v>1530.242</v>
      </c>
      <c r="E3" s="39">
        <v>1499.578</v>
      </c>
      <c r="F3" s="39">
        <v>0.13700000000000001</v>
      </c>
      <c r="G3" s="39">
        <v>71</v>
      </c>
      <c r="H3" s="40">
        <f t="shared" si="0"/>
        <v>0.46596214079745452</v>
      </c>
      <c r="I3" s="41">
        <f t="shared" si="1"/>
        <v>4</v>
      </c>
      <c r="J3" s="15">
        <v>532.70000000000005</v>
      </c>
      <c r="K3" s="40">
        <f t="shared" si="2"/>
        <v>0.35523327229393875</v>
      </c>
      <c r="L3" s="53">
        <f t="shared" si="3"/>
        <v>3</v>
      </c>
      <c r="M3" s="15">
        <f>765.278+J3</f>
        <v>1297.9780000000001</v>
      </c>
      <c r="N3" s="74">
        <f>M3/E3</f>
        <v>0.86556217815945558</v>
      </c>
      <c r="O3" s="41">
        <f t="shared" si="4"/>
        <v>4</v>
      </c>
      <c r="P3" s="15">
        <f>323.513+J3</f>
        <v>856.21299999999997</v>
      </c>
      <c r="Q3" s="40">
        <f t="shared" si="5"/>
        <v>0.57096929936288743</v>
      </c>
      <c r="R3" s="41">
        <f t="shared" si="6"/>
        <v>3</v>
      </c>
      <c r="S3" s="15">
        <f>569.513+J3</f>
        <v>1102.2130000000002</v>
      </c>
      <c r="T3" s="40">
        <f t="shared" si="7"/>
        <v>0.73501545101355192</v>
      </c>
      <c r="U3" s="41">
        <f t="shared" si="8"/>
        <v>3</v>
      </c>
      <c r="V3" s="15">
        <v>1269.4590000000001</v>
      </c>
      <c r="W3" s="39">
        <v>413.60700000000003</v>
      </c>
      <c r="X3" s="40">
        <f t="shared" si="9"/>
        <v>0.32581359460998743</v>
      </c>
      <c r="Y3" s="41">
        <f t="shared" si="10"/>
        <v>4</v>
      </c>
      <c r="Z3" s="57">
        <f t="shared" si="11"/>
        <v>3.5</v>
      </c>
      <c r="AA3" s="60">
        <f t="shared" si="12"/>
        <v>4</v>
      </c>
      <c r="AB3" s="58">
        <v>1</v>
      </c>
      <c r="AC3" s="59">
        <f t="shared" si="13"/>
        <v>4</v>
      </c>
      <c r="AD3" s="60">
        <f t="shared" si="14"/>
        <v>2</v>
      </c>
      <c r="AE3" s="63">
        <v>2</v>
      </c>
      <c r="AF3" s="23">
        <v>2</v>
      </c>
      <c r="AG3" s="48">
        <v>6</v>
      </c>
      <c r="AH3" s="23">
        <f t="shared" ref="AH3:AH27" si="15">AF3*AG3</f>
        <v>12</v>
      </c>
      <c r="AI3" s="94">
        <f t="shared" ref="AI3:AI27" si="16">IF(AH3&lt;6,1,IF(AH3&lt;12,2,IF(AH3&lt;18,3,4)))</f>
        <v>3</v>
      </c>
    </row>
    <row r="4" spans="1:35" ht="15" x14ac:dyDescent="0.2">
      <c r="A4" s="34">
        <v>3</v>
      </c>
      <c r="B4" s="36" t="s">
        <v>41</v>
      </c>
      <c r="C4" s="15">
        <v>1150.71</v>
      </c>
      <c r="D4" s="39">
        <v>53.204999999999998</v>
      </c>
      <c r="E4" s="39">
        <v>50.284999999999997</v>
      </c>
      <c r="F4" s="39">
        <v>14.334</v>
      </c>
      <c r="G4" s="39">
        <v>80</v>
      </c>
      <c r="H4" s="40">
        <f t="shared" si="0"/>
        <v>4.3699107507538817E-2</v>
      </c>
      <c r="I4" s="41">
        <f t="shared" si="1"/>
        <v>1</v>
      </c>
      <c r="J4" s="15">
        <v>3.2050000000000001</v>
      </c>
      <c r="K4" s="40">
        <f t="shared" si="2"/>
        <v>6.3736700805409177E-2</v>
      </c>
      <c r="L4" s="53">
        <f t="shared" si="3"/>
        <v>2</v>
      </c>
      <c r="M4" s="15">
        <f>J4+13.698</f>
        <v>16.902999999999999</v>
      </c>
      <c r="N4" s="74">
        <f>M4/D4</f>
        <v>0.31769570529085611</v>
      </c>
      <c r="O4" s="41">
        <f t="shared" si="4"/>
        <v>3</v>
      </c>
      <c r="P4" s="15">
        <f>33.648+J4</f>
        <v>36.853000000000002</v>
      </c>
      <c r="Q4" s="40">
        <f t="shared" si="5"/>
        <v>0.73288256935467844</v>
      </c>
      <c r="R4" s="41">
        <f t="shared" si="6"/>
        <v>4</v>
      </c>
      <c r="S4" s="15">
        <f>6.484+J4</f>
        <v>9.6890000000000001</v>
      </c>
      <c r="T4" s="40">
        <f t="shared" si="7"/>
        <v>0.19268171422889532</v>
      </c>
      <c r="U4" s="41">
        <f t="shared" si="8"/>
        <v>2</v>
      </c>
      <c r="V4" s="15">
        <v>30.716000000000001</v>
      </c>
      <c r="W4" s="39">
        <v>5.35</v>
      </c>
      <c r="X4" s="40">
        <f t="shared" si="9"/>
        <v>0.17417632504232319</v>
      </c>
      <c r="Y4" s="41">
        <f t="shared" si="10"/>
        <v>3</v>
      </c>
      <c r="Z4" s="57">
        <f t="shared" si="11"/>
        <v>2.5</v>
      </c>
      <c r="AA4" s="60">
        <f t="shared" si="12"/>
        <v>3</v>
      </c>
      <c r="AB4" s="58">
        <v>2</v>
      </c>
      <c r="AC4" s="59">
        <f t="shared" si="13"/>
        <v>6</v>
      </c>
      <c r="AD4" s="60">
        <f t="shared" si="14"/>
        <v>3</v>
      </c>
      <c r="AE4" s="79">
        <v>3</v>
      </c>
      <c r="AF4" s="23">
        <v>2</v>
      </c>
      <c r="AG4" s="48">
        <v>6</v>
      </c>
      <c r="AH4" s="23">
        <f t="shared" si="15"/>
        <v>12</v>
      </c>
      <c r="AI4" s="94">
        <f t="shared" si="16"/>
        <v>3</v>
      </c>
    </row>
    <row r="5" spans="1:35" ht="15" x14ac:dyDescent="0.2">
      <c r="A5" s="34">
        <v>4</v>
      </c>
      <c r="B5" s="35" t="s">
        <v>42</v>
      </c>
      <c r="C5" s="15">
        <v>2072.1999999999998</v>
      </c>
      <c r="D5" s="39">
        <v>913.41800000000001</v>
      </c>
      <c r="E5" s="39">
        <v>870.41700000000003</v>
      </c>
      <c r="F5" s="39">
        <v>5.0350000000000001</v>
      </c>
      <c r="G5" s="39">
        <v>62</v>
      </c>
      <c r="H5" s="40">
        <f t="shared" si="0"/>
        <v>0.42004487983785355</v>
      </c>
      <c r="I5" s="41">
        <f t="shared" si="1"/>
        <v>4</v>
      </c>
      <c r="J5" s="15">
        <v>598.63</v>
      </c>
      <c r="K5" s="40">
        <f t="shared" si="2"/>
        <v>0.68775081369044944</v>
      </c>
      <c r="L5" s="53">
        <f t="shared" si="3"/>
        <v>4</v>
      </c>
      <c r="M5" s="15">
        <v>204.10900000000001</v>
      </c>
      <c r="N5" s="74">
        <f>M5/E5</f>
        <v>0.23449564978625187</v>
      </c>
      <c r="O5" s="41">
        <f t="shared" si="4"/>
        <v>2</v>
      </c>
      <c r="P5" s="15">
        <f>23.696+J5</f>
        <v>622.32600000000002</v>
      </c>
      <c r="Q5" s="40">
        <f t="shared" si="5"/>
        <v>0.71497454668279692</v>
      </c>
      <c r="R5" s="41">
        <f t="shared" si="6"/>
        <v>4</v>
      </c>
      <c r="S5" s="15">
        <f>88.824+J5</f>
        <v>687.45399999999995</v>
      </c>
      <c r="T5" s="40">
        <f t="shared" si="7"/>
        <v>0.78979845292543682</v>
      </c>
      <c r="U5" s="41">
        <f t="shared" si="8"/>
        <v>3</v>
      </c>
      <c r="V5" s="15">
        <v>819.81700000000001</v>
      </c>
      <c r="W5" s="39">
        <v>6.2889999999999997</v>
      </c>
      <c r="X5" s="40">
        <f t="shared" si="9"/>
        <v>7.671224187837041E-3</v>
      </c>
      <c r="Y5" s="41">
        <f t="shared" si="10"/>
        <v>1</v>
      </c>
      <c r="Z5" s="57">
        <f t="shared" si="11"/>
        <v>3</v>
      </c>
      <c r="AA5" s="60">
        <f t="shared" si="12"/>
        <v>3</v>
      </c>
      <c r="AB5" s="58">
        <v>1</v>
      </c>
      <c r="AC5" s="59">
        <f t="shared" si="13"/>
        <v>3</v>
      </c>
      <c r="AD5" s="60">
        <f t="shared" si="14"/>
        <v>2</v>
      </c>
      <c r="AE5" s="63">
        <v>2</v>
      </c>
      <c r="AF5" s="23">
        <v>2</v>
      </c>
      <c r="AG5" s="48">
        <v>6</v>
      </c>
      <c r="AH5" s="23">
        <f t="shared" si="15"/>
        <v>12</v>
      </c>
      <c r="AI5" s="94">
        <f t="shared" si="16"/>
        <v>3</v>
      </c>
    </row>
    <row r="6" spans="1:35" ht="15" x14ac:dyDescent="0.2">
      <c r="A6" s="34">
        <v>5</v>
      </c>
      <c r="B6" s="35" t="s">
        <v>43</v>
      </c>
      <c r="C6" s="15">
        <v>8249.25</v>
      </c>
      <c r="D6" s="39">
        <f>4484.424+544.68</f>
        <v>5029.1040000000003</v>
      </c>
      <c r="E6" s="39">
        <f>4107.924+346.657</f>
        <v>4454.5810000000001</v>
      </c>
      <c r="F6" s="39">
        <v>3.2559999999999998</v>
      </c>
      <c r="G6" s="39">
        <v>75</v>
      </c>
      <c r="H6" s="40">
        <f t="shared" si="0"/>
        <v>0.53999830287601902</v>
      </c>
      <c r="I6" s="41">
        <f t="shared" si="1"/>
        <v>4</v>
      </c>
      <c r="J6" s="15">
        <f>2747.98+345.901</f>
        <v>3093.8809999999999</v>
      </c>
      <c r="K6" s="40">
        <f t="shared" si="2"/>
        <v>0.69453917214660588</v>
      </c>
      <c r="L6" s="53">
        <f t="shared" si="3"/>
        <v>4</v>
      </c>
      <c r="M6" s="15">
        <f>930.071+J6+0.756</f>
        <v>4024.7079999999996</v>
      </c>
      <c r="N6" s="74">
        <f>M6/E6</f>
        <v>0.90349866800042467</v>
      </c>
      <c r="O6" s="41">
        <f t="shared" si="4"/>
        <v>4</v>
      </c>
      <c r="P6" s="15">
        <f>205.47+J6</f>
        <v>3299.3509999999997</v>
      </c>
      <c r="Q6" s="40">
        <f t="shared" si="5"/>
        <v>0.7406647224508881</v>
      </c>
      <c r="R6" s="41">
        <f t="shared" si="6"/>
        <v>4</v>
      </c>
      <c r="S6" s="15">
        <f>604.656+J6</f>
        <v>3698.5369999999998</v>
      </c>
      <c r="T6" s="40">
        <f t="shared" si="7"/>
        <v>0.83027719105343456</v>
      </c>
      <c r="U6" s="41">
        <f t="shared" si="8"/>
        <v>4</v>
      </c>
      <c r="V6" s="15">
        <v>3300.3150000000001</v>
      </c>
      <c r="W6" s="39">
        <v>314.87799999999999</v>
      </c>
      <c r="X6" s="40">
        <f t="shared" si="9"/>
        <v>9.5408468585574405E-2</v>
      </c>
      <c r="Y6" s="41">
        <f t="shared" si="10"/>
        <v>2</v>
      </c>
      <c r="Z6" s="57">
        <f t="shared" si="11"/>
        <v>3.6666666666666665</v>
      </c>
      <c r="AA6" s="60">
        <f t="shared" si="12"/>
        <v>4</v>
      </c>
      <c r="AB6" s="58">
        <v>1</v>
      </c>
      <c r="AC6" s="59">
        <f t="shared" si="13"/>
        <v>4</v>
      </c>
      <c r="AD6" s="60">
        <f t="shared" si="14"/>
        <v>2</v>
      </c>
      <c r="AE6" s="63">
        <v>2</v>
      </c>
      <c r="AF6" s="23">
        <v>2</v>
      </c>
      <c r="AG6" s="48">
        <v>6</v>
      </c>
      <c r="AH6" s="23">
        <f t="shared" si="15"/>
        <v>12</v>
      </c>
      <c r="AI6" s="94">
        <f t="shared" si="16"/>
        <v>3</v>
      </c>
    </row>
    <row r="7" spans="1:35" ht="15" x14ac:dyDescent="0.2">
      <c r="A7" s="34">
        <v>6</v>
      </c>
      <c r="B7" s="35" t="s">
        <v>44</v>
      </c>
      <c r="C7" s="15">
        <v>15254.96</v>
      </c>
      <c r="D7" s="39">
        <v>4533.4790000000003</v>
      </c>
      <c r="E7" s="39">
        <v>4403.652</v>
      </c>
      <c r="F7" s="39">
        <v>39.305999999999997</v>
      </c>
      <c r="G7" s="39">
        <v>70</v>
      </c>
      <c r="H7" s="40">
        <f t="shared" si="0"/>
        <v>0.2886701767818467</v>
      </c>
      <c r="I7" s="41">
        <f t="shared" si="1"/>
        <v>3</v>
      </c>
      <c r="J7" s="15">
        <v>1620.4559999999999</v>
      </c>
      <c r="K7" s="40">
        <f t="shared" si="2"/>
        <v>0.36798003111962524</v>
      </c>
      <c r="L7" s="53">
        <f t="shared" si="3"/>
        <v>3</v>
      </c>
      <c r="M7" s="15">
        <f>1151.428+J7</f>
        <v>2771.884</v>
      </c>
      <c r="N7" s="74">
        <f>M7/D7</f>
        <v>0.61142535346474525</v>
      </c>
      <c r="O7" s="41">
        <f t="shared" si="4"/>
        <v>4</v>
      </c>
      <c r="P7" s="15">
        <f>1709.426+J7</f>
        <v>3329.8819999999996</v>
      </c>
      <c r="Q7" s="40">
        <f t="shared" si="5"/>
        <v>0.75616374772575112</v>
      </c>
      <c r="R7" s="41">
        <f t="shared" si="6"/>
        <v>4</v>
      </c>
      <c r="S7" s="15">
        <f>853.031+J7</f>
        <v>2473.4870000000001</v>
      </c>
      <c r="T7" s="40">
        <f t="shared" si="7"/>
        <v>0.56168993371864995</v>
      </c>
      <c r="U7" s="41">
        <f t="shared" si="8"/>
        <v>3</v>
      </c>
      <c r="V7" s="15">
        <v>2789.2449999999999</v>
      </c>
      <c r="W7" s="39">
        <v>2023.6759999999999</v>
      </c>
      <c r="X7" s="40">
        <f t="shared" si="9"/>
        <v>0.7255282343429853</v>
      </c>
      <c r="Y7" s="41">
        <f t="shared" si="10"/>
        <v>4</v>
      </c>
      <c r="Z7" s="57">
        <f t="shared" si="11"/>
        <v>3.5</v>
      </c>
      <c r="AA7" s="60">
        <f t="shared" si="12"/>
        <v>4</v>
      </c>
      <c r="AB7" s="58">
        <v>1</v>
      </c>
      <c r="AC7" s="59">
        <f t="shared" si="13"/>
        <v>4</v>
      </c>
      <c r="AD7" s="60">
        <f t="shared" si="14"/>
        <v>2</v>
      </c>
      <c r="AE7" s="63">
        <v>2</v>
      </c>
      <c r="AF7" s="23">
        <v>2</v>
      </c>
      <c r="AG7" s="48">
        <v>6</v>
      </c>
      <c r="AH7" s="23">
        <f t="shared" si="15"/>
        <v>12</v>
      </c>
      <c r="AI7" s="94">
        <f t="shared" si="16"/>
        <v>3</v>
      </c>
    </row>
    <row r="8" spans="1:35" ht="15" x14ac:dyDescent="0.2">
      <c r="A8" s="34">
        <v>7</v>
      </c>
      <c r="B8" s="35" t="s">
        <v>45</v>
      </c>
      <c r="C8" s="15">
        <v>7544.51</v>
      </c>
      <c r="D8" s="39">
        <f>5458.694+1032.261</f>
        <v>6490.9549999999999</v>
      </c>
      <c r="E8" s="39">
        <f>5363.368+759.835</f>
        <v>6123.2030000000004</v>
      </c>
      <c r="F8" s="39">
        <v>48.709000000000003</v>
      </c>
      <c r="G8" s="39">
        <v>69</v>
      </c>
      <c r="H8" s="40">
        <f t="shared" si="0"/>
        <v>0.81161042930554805</v>
      </c>
      <c r="I8" s="41">
        <f t="shared" si="1"/>
        <v>4</v>
      </c>
      <c r="J8" s="15">
        <f>5059.394+759.017</f>
        <v>5818.4110000000001</v>
      </c>
      <c r="K8" s="40">
        <f t="shared" si="2"/>
        <v>0.95022343698224598</v>
      </c>
      <c r="L8" s="53">
        <f t="shared" si="3"/>
        <v>4</v>
      </c>
      <c r="M8" s="15">
        <f>114.593+J8+0.337+0.477+0.004</f>
        <v>5933.8220000000001</v>
      </c>
      <c r="N8" s="74">
        <f t="shared" ref="N8:N13" si="17">M8/E8</f>
        <v>0.96907157904123054</v>
      </c>
      <c r="O8" s="41">
        <f t="shared" si="4"/>
        <v>4</v>
      </c>
      <c r="P8" s="15">
        <f>5.066+J8</f>
        <v>5823.4769999999999</v>
      </c>
      <c r="Q8" s="40">
        <f t="shared" si="5"/>
        <v>0.95105078175588809</v>
      </c>
      <c r="R8" s="41">
        <f t="shared" si="6"/>
        <v>4</v>
      </c>
      <c r="S8" s="15">
        <f>J8+114.681+0.004</f>
        <v>5933.0959999999995</v>
      </c>
      <c r="T8" s="40">
        <f t="shared" si="7"/>
        <v>0.96895301364334963</v>
      </c>
      <c r="U8" s="41">
        <f t="shared" si="8"/>
        <v>4</v>
      </c>
      <c r="V8" s="15">
        <v>5154.2719999999999</v>
      </c>
      <c r="W8" s="39">
        <v>1830.9960000000001</v>
      </c>
      <c r="X8" s="40">
        <f t="shared" si="9"/>
        <v>0.35523852835085151</v>
      </c>
      <c r="Y8" s="41">
        <f t="shared" si="10"/>
        <v>4</v>
      </c>
      <c r="Z8" s="57">
        <f t="shared" si="11"/>
        <v>4</v>
      </c>
      <c r="AA8" s="60">
        <f t="shared" si="12"/>
        <v>4</v>
      </c>
      <c r="AB8" s="58">
        <v>1</v>
      </c>
      <c r="AC8" s="59">
        <f t="shared" si="13"/>
        <v>4</v>
      </c>
      <c r="AD8" s="60">
        <f t="shared" si="14"/>
        <v>2</v>
      </c>
      <c r="AE8" s="63">
        <v>2</v>
      </c>
      <c r="AF8" s="23">
        <v>2</v>
      </c>
      <c r="AG8" s="48">
        <v>6</v>
      </c>
      <c r="AH8" s="23">
        <f t="shared" si="15"/>
        <v>12</v>
      </c>
      <c r="AI8" s="94">
        <f t="shared" si="16"/>
        <v>3</v>
      </c>
    </row>
    <row r="9" spans="1:35" ht="15" x14ac:dyDescent="0.2">
      <c r="A9" s="34">
        <v>8</v>
      </c>
      <c r="B9" s="35" t="s">
        <v>46</v>
      </c>
      <c r="C9" s="15">
        <v>3799.2</v>
      </c>
      <c r="D9" s="39">
        <f>1226.63+2004.323</f>
        <v>3230.9530000000004</v>
      </c>
      <c r="E9" s="39">
        <f>1202.96+1271.378</f>
        <v>2474.3379999999997</v>
      </c>
      <c r="F9" s="39">
        <v>18.247</v>
      </c>
      <c r="G9" s="39">
        <v>71</v>
      </c>
      <c r="H9" s="40">
        <f t="shared" si="0"/>
        <v>0.65127869025057905</v>
      </c>
      <c r="I9" s="41">
        <f t="shared" si="1"/>
        <v>4</v>
      </c>
      <c r="J9" s="15">
        <f>941.456+1148.167</f>
        <v>2089.623</v>
      </c>
      <c r="K9" s="40">
        <f t="shared" si="2"/>
        <v>0.84451800845317015</v>
      </c>
      <c r="L9" s="53">
        <f t="shared" si="3"/>
        <v>4</v>
      </c>
      <c r="M9" s="15">
        <f>251.334+J9+16.804+25.856+3.004+76.657</f>
        <v>2463.2780000000002</v>
      </c>
      <c r="N9" s="74">
        <f t="shared" si="17"/>
        <v>0.99553011755063392</v>
      </c>
      <c r="O9" s="41">
        <f t="shared" si="4"/>
        <v>4</v>
      </c>
      <c r="P9" s="15">
        <f>1.193+J9</f>
        <v>2090.8160000000003</v>
      </c>
      <c r="Q9" s="40">
        <f t="shared" si="5"/>
        <v>0.84500015761791658</v>
      </c>
      <c r="R9" s="41">
        <f t="shared" si="6"/>
        <v>4</v>
      </c>
      <c r="S9" s="15">
        <f>49.884+J9+16.804</f>
        <v>2156.3110000000001</v>
      </c>
      <c r="T9" s="40">
        <f t="shared" si="7"/>
        <v>0.8714698638585352</v>
      </c>
      <c r="U9" s="41">
        <f t="shared" si="8"/>
        <v>4</v>
      </c>
      <c r="V9" s="15">
        <v>1169.921</v>
      </c>
      <c r="W9" s="39">
        <v>301.07299999999998</v>
      </c>
      <c r="X9" s="40">
        <f t="shared" si="9"/>
        <v>0.25734472669522129</v>
      </c>
      <c r="Y9" s="41">
        <f t="shared" si="10"/>
        <v>4</v>
      </c>
      <c r="Z9" s="57">
        <f t="shared" si="11"/>
        <v>4</v>
      </c>
      <c r="AA9" s="60">
        <f t="shared" si="12"/>
        <v>4</v>
      </c>
      <c r="AB9" s="58">
        <v>1</v>
      </c>
      <c r="AC9" s="59">
        <f t="shared" si="13"/>
        <v>4</v>
      </c>
      <c r="AD9" s="60">
        <f t="shared" si="14"/>
        <v>2</v>
      </c>
      <c r="AE9" s="63">
        <v>2</v>
      </c>
      <c r="AF9" s="23">
        <v>2</v>
      </c>
      <c r="AG9" s="48">
        <v>6</v>
      </c>
      <c r="AH9" s="23">
        <f t="shared" si="15"/>
        <v>12</v>
      </c>
      <c r="AI9" s="94">
        <f t="shared" si="16"/>
        <v>3</v>
      </c>
    </row>
    <row r="10" spans="1:35" s="5" customFormat="1" ht="15" x14ac:dyDescent="0.2">
      <c r="A10" s="34">
        <v>9</v>
      </c>
      <c r="B10" s="35" t="s">
        <v>47</v>
      </c>
      <c r="C10" s="15">
        <v>13032.67</v>
      </c>
      <c r="D10" s="39">
        <v>3043.2350000000001</v>
      </c>
      <c r="E10" s="39">
        <v>2962.317</v>
      </c>
      <c r="F10" s="39">
        <v>0</v>
      </c>
      <c r="G10" s="39">
        <v>65</v>
      </c>
      <c r="H10" s="40">
        <f t="shared" si="0"/>
        <v>0.22729931779136586</v>
      </c>
      <c r="I10" s="41">
        <f t="shared" si="1"/>
        <v>3</v>
      </c>
      <c r="J10" s="15">
        <v>1137.4079999999999</v>
      </c>
      <c r="K10" s="40">
        <f t="shared" si="2"/>
        <v>0.38395890784139575</v>
      </c>
      <c r="L10" s="53">
        <f t="shared" si="3"/>
        <v>3</v>
      </c>
      <c r="M10" s="15">
        <f>816.45+J10</f>
        <v>1953.8579999999999</v>
      </c>
      <c r="N10" s="74">
        <f t="shared" si="17"/>
        <v>0.65957086969422918</v>
      </c>
      <c r="O10" s="41">
        <f t="shared" si="4"/>
        <v>4</v>
      </c>
      <c r="P10" s="15">
        <f>J10+718.268</f>
        <v>1855.6759999999999</v>
      </c>
      <c r="Q10" s="40">
        <f t="shared" si="5"/>
        <v>0.62642721896407438</v>
      </c>
      <c r="R10" s="41">
        <f t="shared" si="6"/>
        <v>4</v>
      </c>
      <c r="S10" s="15">
        <f>651.875+J10</f>
        <v>1789.2829999999999</v>
      </c>
      <c r="T10" s="40">
        <f t="shared" si="7"/>
        <v>0.60401469525374896</v>
      </c>
      <c r="U10" s="41">
        <f t="shared" si="8"/>
        <v>3</v>
      </c>
      <c r="V10" s="15">
        <v>1429.96</v>
      </c>
      <c r="W10" s="39">
        <v>947.75</v>
      </c>
      <c r="X10" s="40">
        <f t="shared" si="9"/>
        <v>0.66278077708467364</v>
      </c>
      <c r="Y10" s="41">
        <f t="shared" si="10"/>
        <v>4</v>
      </c>
      <c r="Z10" s="57">
        <f t="shared" si="11"/>
        <v>3.5</v>
      </c>
      <c r="AA10" s="60">
        <f t="shared" si="12"/>
        <v>4</v>
      </c>
      <c r="AB10" s="58">
        <v>1</v>
      </c>
      <c r="AC10" s="59">
        <f t="shared" si="13"/>
        <v>4</v>
      </c>
      <c r="AD10" s="60">
        <f t="shared" si="14"/>
        <v>2</v>
      </c>
      <c r="AE10" s="63">
        <v>2</v>
      </c>
      <c r="AF10" s="23">
        <v>2</v>
      </c>
      <c r="AG10" s="48">
        <v>6</v>
      </c>
      <c r="AH10" s="23">
        <f t="shared" si="15"/>
        <v>12</v>
      </c>
      <c r="AI10" s="94">
        <f t="shared" si="16"/>
        <v>3</v>
      </c>
    </row>
    <row r="11" spans="1:35" ht="15" x14ac:dyDescent="0.2">
      <c r="A11" s="34">
        <v>10</v>
      </c>
      <c r="B11" s="35" t="s">
        <v>48</v>
      </c>
      <c r="C11" s="15">
        <v>10485.299999999999</v>
      </c>
      <c r="D11" s="39">
        <v>1960.377</v>
      </c>
      <c r="E11" s="39">
        <v>1923.1890000000001</v>
      </c>
      <c r="F11" s="39">
        <v>2.9609999999999999</v>
      </c>
      <c r="G11" s="39">
        <v>66</v>
      </c>
      <c r="H11" s="40">
        <f t="shared" si="0"/>
        <v>0.18341764184143516</v>
      </c>
      <c r="I11" s="41">
        <f t="shared" si="1"/>
        <v>2</v>
      </c>
      <c r="J11" s="15">
        <v>193.58699999999999</v>
      </c>
      <c r="K11" s="40">
        <f t="shared" si="2"/>
        <v>0.10065937357170823</v>
      </c>
      <c r="L11" s="53">
        <f t="shared" si="3"/>
        <v>2</v>
      </c>
      <c r="M11" s="15">
        <f>310.744+J11</f>
        <v>504.33100000000002</v>
      </c>
      <c r="N11" s="74">
        <f t="shared" si="17"/>
        <v>0.26223683683714916</v>
      </c>
      <c r="O11" s="41">
        <f t="shared" si="4"/>
        <v>2</v>
      </c>
      <c r="P11" s="15">
        <f>777.987+J11</f>
        <v>971.57399999999996</v>
      </c>
      <c r="Q11" s="40">
        <f t="shared" si="5"/>
        <v>0.50518903758288958</v>
      </c>
      <c r="R11" s="41">
        <f t="shared" si="6"/>
        <v>3</v>
      </c>
      <c r="S11" s="15">
        <f>715.49+J11</f>
        <v>909.077</v>
      </c>
      <c r="T11" s="40">
        <f t="shared" si="7"/>
        <v>0.47269249148159642</v>
      </c>
      <c r="U11" s="41">
        <f t="shared" si="8"/>
        <v>2</v>
      </c>
      <c r="V11" s="15">
        <v>894.13900000000001</v>
      </c>
      <c r="W11" s="39">
        <v>532.31899999999996</v>
      </c>
      <c r="X11" s="40">
        <f t="shared" si="9"/>
        <v>0.59534255859547558</v>
      </c>
      <c r="Y11" s="41">
        <f t="shared" si="10"/>
        <v>4</v>
      </c>
      <c r="Z11" s="57">
        <f t="shared" si="11"/>
        <v>2.5</v>
      </c>
      <c r="AA11" s="60">
        <f t="shared" si="12"/>
        <v>3</v>
      </c>
      <c r="AB11" s="58">
        <v>2</v>
      </c>
      <c r="AC11" s="59">
        <f t="shared" si="13"/>
        <v>6</v>
      </c>
      <c r="AD11" s="60">
        <f t="shared" si="14"/>
        <v>3</v>
      </c>
      <c r="AE11" s="79">
        <v>3</v>
      </c>
      <c r="AF11" s="23">
        <v>2</v>
      </c>
      <c r="AG11" s="48">
        <v>6</v>
      </c>
      <c r="AH11" s="23">
        <f t="shared" si="15"/>
        <v>12</v>
      </c>
      <c r="AI11" s="94">
        <f t="shared" si="16"/>
        <v>3</v>
      </c>
    </row>
    <row r="12" spans="1:35" ht="15" x14ac:dyDescent="0.2">
      <c r="A12" s="34">
        <v>11</v>
      </c>
      <c r="B12" s="35" t="s">
        <v>49</v>
      </c>
      <c r="C12" s="15">
        <v>15990.05</v>
      </c>
      <c r="D12" s="39">
        <v>4939.9030000000002</v>
      </c>
      <c r="E12" s="39">
        <v>4867.3379999999997</v>
      </c>
      <c r="F12" s="39">
        <v>8.5060000000000002</v>
      </c>
      <c r="G12" s="39">
        <v>70</v>
      </c>
      <c r="H12" s="40">
        <f t="shared" si="0"/>
        <v>0.3043979224580286</v>
      </c>
      <c r="I12" s="41">
        <f t="shared" si="1"/>
        <v>4</v>
      </c>
      <c r="J12" s="15">
        <v>1603.7940000000001</v>
      </c>
      <c r="K12" s="40">
        <f t="shared" si="2"/>
        <v>0.32950125920985973</v>
      </c>
      <c r="L12" s="53">
        <f t="shared" si="3"/>
        <v>3</v>
      </c>
      <c r="M12" s="56">
        <f>1419.277+J12</f>
        <v>3023.0709999999999</v>
      </c>
      <c r="N12" s="74">
        <f t="shared" si="17"/>
        <v>0.62109329576043415</v>
      </c>
      <c r="O12" s="41">
        <f t="shared" si="4"/>
        <v>4</v>
      </c>
      <c r="P12" s="15">
        <f>1905.571+J12</f>
        <v>3509.3649999999998</v>
      </c>
      <c r="Q12" s="40">
        <f t="shared" si="5"/>
        <v>0.72100293836179041</v>
      </c>
      <c r="R12" s="41">
        <f t="shared" si="6"/>
        <v>4</v>
      </c>
      <c r="S12" s="56">
        <v>1098.9010000000001</v>
      </c>
      <c r="T12" s="40">
        <f t="shared" si="7"/>
        <v>0.22577043139391595</v>
      </c>
      <c r="U12" s="41">
        <f t="shared" si="8"/>
        <v>2</v>
      </c>
      <c r="V12" s="15">
        <v>3590.5189999999998</v>
      </c>
      <c r="W12" s="39">
        <v>1199.6489999999999</v>
      </c>
      <c r="X12" s="40">
        <f t="shared" si="9"/>
        <v>0.33411576432265083</v>
      </c>
      <c r="Y12" s="41">
        <f t="shared" si="10"/>
        <v>4</v>
      </c>
      <c r="Z12" s="57">
        <f t="shared" si="11"/>
        <v>3.5</v>
      </c>
      <c r="AA12" s="60">
        <f t="shared" si="12"/>
        <v>4</v>
      </c>
      <c r="AB12" s="58">
        <v>2</v>
      </c>
      <c r="AC12" s="59">
        <f t="shared" si="13"/>
        <v>8</v>
      </c>
      <c r="AD12" s="60">
        <f t="shared" si="14"/>
        <v>3</v>
      </c>
      <c r="AE12" s="79">
        <v>3</v>
      </c>
      <c r="AF12" s="23">
        <v>2</v>
      </c>
      <c r="AG12" s="48">
        <v>6</v>
      </c>
      <c r="AH12" s="23">
        <f t="shared" si="15"/>
        <v>12</v>
      </c>
      <c r="AI12" s="94">
        <f t="shared" si="16"/>
        <v>3</v>
      </c>
    </row>
    <row r="13" spans="1:35" ht="15" x14ac:dyDescent="0.2">
      <c r="A13" s="34">
        <v>12</v>
      </c>
      <c r="B13" s="35" t="s">
        <v>50</v>
      </c>
      <c r="C13" s="15">
        <v>14508.82</v>
      </c>
      <c r="D13" s="39">
        <v>2204.8339999999998</v>
      </c>
      <c r="E13" s="39">
        <v>2136.7280000000001</v>
      </c>
      <c r="F13" s="39">
        <v>2.9550000000000001</v>
      </c>
      <c r="G13" s="39">
        <v>73</v>
      </c>
      <c r="H13" s="40">
        <f t="shared" si="0"/>
        <v>0.14727097034769196</v>
      </c>
      <c r="I13" s="41">
        <f t="shared" si="1"/>
        <v>2</v>
      </c>
      <c r="J13" s="15">
        <v>262.37700000000001</v>
      </c>
      <c r="K13" s="40">
        <f t="shared" si="2"/>
        <v>0.1227938230790255</v>
      </c>
      <c r="L13" s="53">
        <f t="shared" si="3"/>
        <v>2</v>
      </c>
      <c r="M13" s="15">
        <f>385.444+J13</f>
        <v>647.82100000000003</v>
      </c>
      <c r="N13" s="74">
        <f t="shared" si="17"/>
        <v>0.30318365276254161</v>
      </c>
      <c r="O13" s="41">
        <f t="shared" si="4"/>
        <v>3</v>
      </c>
      <c r="P13" s="15">
        <f>1208.317+J13</f>
        <v>1470.694</v>
      </c>
      <c r="Q13" s="40">
        <f t="shared" si="5"/>
        <v>0.68829256695283625</v>
      </c>
      <c r="R13" s="41">
        <f t="shared" si="6"/>
        <v>4</v>
      </c>
      <c r="S13" s="15">
        <f>337.539+J13</f>
        <v>599.91599999999994</v>
      </c>
      <c r="T13" s="40">
        <f t="shared" si="7"/>
        <v>0.28076385950855698</v>
      </c>
      <c r="U13" s="41">
        <f t="shared" si="8"/>
        <v>2</v>
      </c>
      <c r="V13" s="15">
        <v>1095.9649999999999</v>
      </c>
      <c r="W13" s="39">
        <v>477.05500000000001</v>
      </c>
      <c r="X13" s="40">
        <f t="shared" si="9"/>
        <v>0.43528306104665754</v>
      </c>
      <c r="Y13" s="41">
        <f t="shared" si="10"/>
        <v>4</v>
      </c>
      <c r="Z13" s="57">
        <f t="shared" si="11"/>
        <v>2.8333333333333335</v>
      </c>
      <c r="AA13" s="60">
        <f t="shared" si="12"/>
        <v>3</v>
      </c>
      <c r="AB13" s="58">
        <v>2</v>
      </c>
      <c r="AC13" s="59">
        <f t="shared" si="13"/>
        <v>6</v>
      </c>
      <c r="AD13" s="60">
        <f t="shared" si="14"/>
        <v>3</v>
      </c>
      <c r="AE13" s="79">
        <v>3</v>
      </c>
      <c r="AF13" s="23">
        <v>2</v>
      </c>
      <c r="AG13" s="48">
        <v>6</v>
      </c>
      <c r="AH13" s="23">
        <f t="shared" si="15"/>
        <v>12</v>
      </c>
      <c r="AI13" s="94">
        <f t="shared" si="16"/>
        <v>3</v>
      </c>
    </row>
    <row r="14" spans="1:35" ht="15" x14ac:dyDescent="0.2">
      <c r="A14" s="34">
        <v>13</v>
      </c>
      <c r="B14" s="35" t="s">
        <v>51</v>
      </c>
      <c r="C14" s="15">
        <v>4316.6400000000003</v>
      </c>
      <c r="D14" s="39">
        <f>2488.881+507.235</f>
        <v>2996.116</v>
      </c>
      <c r="E14" s="39">
        <f>2455.663+276.902</f>
        <v>2732.5650000000001</v>
      </c>
      <c r="F14" s="39">
        <v>0</v>
      </c>
      <c r="G14" s="39">
        <v>80</v>
      </c>
      <c r="H14" s="40">
        <f t="shared" si="0"/>
        <v>0.63303055154008669</v>
      </c>
      <c r="I14" s="41">
        <f t="shared" si="1"/>
        <v>4</v>
      </c>
      <c r="J14" s="15">
        <f>1780.153+261.677</f>
        <v>2041.83</v>
      </c>
      <c r="K14" s="40">
        <f t="shared" si="2"/>
        <v>0.74722101761531745</v>
      </c>
      <c r="L14" s="53">
        <f t="shared" si="3"/>
        <v>4</v>
      </c>
      <c r="M14" s="15">
        <f>551.75+J14+13.06+0.003+2.162</f>
        <v>2608.8049999999998</v>
      </c>
      <c r="N14" s="74">
        <f>M14/D14</f>
        <v>0.87072897044039677</v>
      </c>
      <c r="O14" s="41">
        <f t="shared" si="4"/>
        <v>4</v>
      </c>
      <c r="P14" s="15">
        <f>34.01+J14</f>
        <v>2075.84</v>
      </c>
      <c r="Q14" s="40">
        <f t="shared" si="5"/>
        <v>0.75966719913341496</v>
      </c>
      <c r="R14" s="41">
        <f t="shared" si="6"/>
        <v>4</v>
      </c>
      <c r="S14" s="15">
        <f>421.864+J14+13.06</f>
        <v>2476.7539999999999</v>
      </c>
      <c r="T14" s="40">
        <f t="shared" si="7"/>
        <v>0.90638429460964332</v>
      </c>
      <c r="U14" s="41">
        <f t="shared" si="8"/>
        <v>4</v>
      </c>
      <c r="V14" s="15">
        <v>2341.2510000000002</v>
      </c>
      <c r="W14" s="39">
        <v>825.94899999999996</v>
      </c>
      <c r="X14" s="40">
        <f t="shared" si="9"/>
        <v>0.35278105593975184</v>
      </c>
      <c r="Y14" s="41">
        <f t="shared" si="10"/>
        <v>4</v>
      </c>
      <c r="Z14" s="57">
        <f t="shared" si="11"/>
        <v>4</v>
      </c>
      <c r="AA14" s="60">
        <f t="shared" si="12"/>
        <v>4</v>
      </c>
      <c r="AB14" s="58">
        <v>1</v>
      </c>
      <c r="AC14" s="59">
        <f t="shared" si="13"/>
        <v>4</v>
      </c>
      <c r="AD14" s="60">
        <f t="shared" si="14"/>
        <v>2</v>
      </c>
      <c r="AE14" s="63">
        <v>2</v>
      </c>
      <c r="AF14" s="23">
        <v>2</v>
      </c>
      <c r="AG14" s="48">
        <v>6</v>
      </c>
      <c r="AH14" s="23">
        <f t="shared" si="15"/>
        <v>12</v>
      </c>
      <c r="AI14" s="94">
        <f t="shared" si="16"/>
        <v>3</v>
      </c>
    </row>
    <row r="15" spans="1:35" ht="15" x14ac:dyDescent="0.2">
      <c r="A15" s="34">
        <v>14</v>
      </c>
      <c r="B15" s="35" t="s">
        <v>52</v>
      </c>
      <c r="C15" s="15">
        <v>9427.44</v>
      </c>
      <c r="D15" s="39">
        <v>2722.3919999999998</v>
      </c>
      <c r="E15" s="39">
        <v>2667.7190000000001</v>
      </c>
      <c r="F15" s="39">
        <v>15.359</v>
      </c>
      <c r="G15" s="39">
        <v>67</v>
      </c>
      <c r="H15" s="40">
        <f t="shared" si="0"/>
        <v>0.28297385080149012</v>
      </c>
      <c r="I15" s="41">
        <f t="shared" si="1"/>
        <v>3</v>
      </c>
      <c r="J15" s="15">
        <v>1279.624</v>
      </c>
      <c r="K15" s="40">
        <f t="shared" si="2"/>
        <v>0.47966971034055683</v>
      </c>
      <c r="L15" s="53">
        <f t="shared" si="3"/>
        <v>4</v>
      </c>
      <c r="M15" s="15">
        <f>898.871+J15</f>
        <v>2178.4949999999999</v>
      </c>
      <c r="N15" s="74">
        <f>M15/E15</f>
        <v>0.81661336894927838</v>
      </c>
      <c r="O15" s="41">
        <f t="shared" si="4"/>
        <v>4</v>
      </c>
      <c r="P15" s="15">
        <f>505.494+J15</f>
        <v>1785.1179999999999</v>
      </c>
      <c r="Q15" s="40">
        <f t="shared" si="5"/>
        <v>0.66915518463526324</v>
      </c>
      <c r="R15" s="41">
        <f t="shared" si="6"/>
        <v>4</v>
      </c>
      <c r="S15" s="15">
        <f>523.194+J15</f>
        <v>1802.818</v>
      </c>
      <c r="T15" s="40">
        <f t="shared" si="7"/>
        <v>0.67579006634506855</v>
      </c>
      <c r="U15" s="41">
        <f t="shared" si="8"/>
        <v>3</v>
      </c>
      <c r="V15" s="15">
        <v>1460.7170000000001</v>
      </c>
      <c r="W15" s="39">
        <v>500.77499999999998</v>
      </c>
      <c r="X15" s="40">
        <f t="shared" si="9"/>
        <v>0.34282821381554396</v>
      </c>
      <c r="Y15" s="41">
        <f t="shared" si="10"/>
        <v>4</v>
      </c>
      <c r="Z15" s="57">
        <f t="shared" si="11"/>
        <v>3.6666666666666665</v>
      </c>
      <c r="AA15" s="60">
        <f t="shared" si="12"/>
        <v>4</v>
      </c>
      <c r="AB15" s="58">
        <v>1</v>
      </c>
      <c r="AC15" s="59">
        <f t="shared" si="13"/>
        <v>4</v>
      </c>
      <c r="AD15" s="60">
        <f t="shared" si="14"/>
        <v>2</v>
      </c>
      <c r="AE15" s="63">
        <v>2</v>
      </c>
      <c r="AF15" s="23">
        <v>2</v>
      </c>
      <c r="AG15" s="48">
        <v>6</v>
      </c>
      <c r="AH15" s="23">
        <f t="shared" si="15"/>
        <v>12</v>
      </c>
      <c r="AI15" s="94">
        <f t="shared" si="16"/>
        <v>3</v>
      </c>
    </row>
    <row r="16" spans="1:35" ht="15" x14ac:dyDescent="0.2">
      <c r="A16" s="34">
        <v>15</v>
      </c>
      <c r="B16" s="35" t="s">
        <v>53</v>
      </c>
      <c r="C16" s="15">
        <v>4712.68</v>
      </c>
      <c r="D16" s="39">
        <v>997.83699999999999</v>
      </c>
      <c r="E16" s="39">
        <v>937.44</v>
      </c>
      <c r="F16" s="39">
        <v>5.3680000000000003</v>
      </c>
      <c r="G16" s="39">
        <v>73</v>
      </c>
      <c r="H16" s="40">
        <f t="shared" si="0"/>
        <v>0.19891866199275146</v>
      </c>
      <c r="I16" s="41">
        <f t="shared" si="1"/>
        <v>2</v>
      </c>
      <c r="J16" s="15">
        <v>253.91300000000001</v>
      </c>
      <c r="K16" s="40">
        <f t="shared" si="2"/>
        <v>0.2708578682369005</v>
      </c>
      <c r="L16" s="53">
        <f t="shared" si="3"/>
        <v>3</v>
      </c>
      <c r="M16" s="15">
        <f>246.989+J16</f>
        <v>500.90200000000004</v>
      </c>
      <c r="N16" s="74">
        <f>M16/D16</f>
        <v>0.50198779961055773</v>
      </c>
      <c r="O16" s="41">
        <f t="shared" si="4"/>
        <v>4</v>
      </c>
      <c r="P16" s="15">
        <f>323.525+J16</f>
        <v>577.43799999999999</v>
      </c>
      <c r="Q16" s="40">
        <f t="shared" si="5"/>
        <v>0.61597328895715986</v>
      </c>
      <c r="R16" s="41">
        <f t="shared" si="6"/>
        <v>4</v>
      </c>
      <c r="S16" s="15">
        <f>194.904+J16</f>
        <v>448.81700000000001</v>
      </c>
      <c r="T16" s="40">
        <f t="shared" si="7"/>
        <v>0.47876877453490357</v>
      </c>
      <c r="U16" s="41">
        <f t="shared" si="8"/>
        <v>2</v>
      </c>
      <c r="V16" s="15">
        <v>491.40499999999997</v>
      </c>
      <c r="W16" s="39">
        <v>53.585000000000001</v>
      </c>
      <c r="X16" s="40">
        <f t="shared" si="9"/>
        <v>0.10904447451694632</v>
      </c>
      <c r="Y16" s="41">
        <f t="shared" si="10"/>
        <v>2</v>
      </c>
      <c r="Z16" s="57">
        <f t="shared" si="11"/>
        <v>2.8333333333333335</v>
      </c>
      <c r="AA16" s="60">
        <f t="shared" si="12"/>
        <v>3</v>
      </c>
      <c r="AB16" s="58">
        <v>1</v>
      </c>
      <c r="AC16" s="59">
        <f t="shared" si="13"/>
        <v>3</v>
      </c>
      <c r="AD16" s="60">
        <f t="shared" si="14"/>
        <v>2</v>
      </c>
      <c r="AE16" s="63">
        <v>2</v>
      </c>
      <c r="AF16" s="23">
        <v>2</v>
      </c>
      <c r="AG16" s="48">
        <v>6</v>
      </c>
      <c r="AH16" s="23">
        <f t="shared" si="15"/>
        <v>12</v>
      </c>
      <c r="AI16" s="94">
        <f t="shared" si="16"/>
        <v>3</v>
      </c>
    </row>
    <row r="17" spans="1:35" ht="15" x14ac:dyDescent="0.2">
      <c r="A17" s="34">
        <v>16</v>
      </c>
      <c r="B17" s="35" t="s">
        <v>54</v>
      </c>
      <c r="C17" s="15">
        <v>18653.759999999998</v>
      </c>
      <c r="D17" s="39">
        <v>10650.651</v>
      </c>
      <c r="E17" s="39">
        <v>10344.918</v>
      </c>
      <c r="F17" s="39">
        <v>0</v>
      </c>
      <c r="G17" s="39">
        <v>56</v>
      </c>
      <c r="H17" s="40">
        <f t="shared" si="0"/>
        <v>0.55457548504966292</v>
      </c>
      <c r="I17" s="41">
        <f t="shared" si="1"/>
        <v>4</v>
      </c>
      <c r="J17" s="15">
        <v>8396.1200000000008</v>
      </c>
      <c r="K17" s="40">
        <f t="shared" si="2"/>
        <v>0.81161783979341362</v>
      </c>
      <c r="L17" s="53">
        <f t="shared" si="3"/>
        <v>4</v>
      </c>
      <c r="M17" s="15">
        <f>1384.065+J17</f>
        <v>9780.1850000000013</v>
      </c>
      <c r="N17" s="74">
        <f t="shared" ref="N17:N24" si="18">M17/E17</f>
        <v>0.94540962045325072</v>
      </c>
      <c r="O17" s="41">
        <f t="shared" si="4"/>
        <v>4</v>
      </c>
      <c r="P17" s="15">
        <f>226.702+J17</f>
        <v>8622.8220000000001</v>
      </c>
      <c r="Q17" s="40">
        <f t="shared" si="5"/>
        <v>0.83353217492879117</v>
      </c>
      <c r="R17" s="41">
        <f t="shared" si="6"/>
        <v>4</v>
      </c>
      <c r="S17" s="15">
        <f>349.545+J17</f>
        <v>8745.6650000000009</v>
      </c>
      <c r="T17" s="40">
        <f t="shared" si="7"/>
        <v>0.84540689447707573</v>
      </c>
      <c r="U17" s="41">
        <f t="shared" si="8"/>
        <v>4</v>
      </c>
      <c r="V17" s="15">
        <v>9652.125</v>
      </c>
      <c r="W17" s="39">
        <v>1955.4159999999999</v>
      </c>
      <c r="X17" s="40">
        <f t="shared" si="9"/>
        <v>0.20258917077845551</v>
      </c>
      <c r="Y17" s="41">
        <f t="shared" si="10"/>
        <v>3</v>
      </c>
      <c r="Z17" s="57">
        <f t="shared" si="11"/>
        <v>3.8333333333333335</v>
      </c>
      <c r="AA17" s="60">
        <f t="shared" si="12"/>
        <v>4</v>
      </c>
      <c r="AB17" s="58">
        <v>1</v>
      </c>
      <c r="AC17" s="59">
        <f t="shared" si="13"/>
        <v>4</v>
      </c>
      <c r="AD17" s="60">
        <f t="shared" si="14"/>
        <v>2</v>
      </c>
      <c r="AE17" s="63">
        <v>2</v>
      </c>
      <c r="AF17" s="23">
        <v>2</v>
      </c>
      <c r="AG17" s="48">
        <v>6</v>
      </c>
      <c r="AH17" s="23">
        <f t="shared" si="15"/>
        <v>12</v>
      </c>
      <c r="AI17" s="94">
        <f t="shared" si="16"/>
        <v>3</v>
      </c>
    </row>
    <row r="18" spans="1:35" ht="15" x14ac:dyDescent="0.2">
      <c r="A18" s="34">
        <v>17</v>
      </c>
      <c r="B18" s="35" t="s">
        <v>55</v>
      </c>
      <c r="C18" s="15">
        <v>10455.64</v>
      </c>
      <c r="D18" s="39">
        <v>2571.8090000000002</v>
      </c>
      <c r="E18" s="39">
        <v>2501.6559999999999</v>
      </c>
      <c r="F18" s="39">
        <v>5.4290000000000003</v>
      </c>
      <c r="G18" s="39">
        <v>71</v>
      </c>
      <c r="H18" s="40">
        <f t="shared" si="0"/>
        <v>0.23926378490460651</v>
      </c>
      <c r="I18" s="41">
        <f t="shared" si="1"/>
        <v>3</v>
      </c>
      <c r="J18" s="15">
        <v>1181.454</v>
      </c>
      <c r="K18" s="40">
        <f t="shared" si="2"/>
        <v>0.47226876916730359</v>
      </c>
      <c r="L18" s="53">
        <f t="shared" si="3"/>
        <v>4</v>
      </c>
      <c r="M18" s="15">
        <f>608.48+J18</f>
        <v>1789.934</v>
      </c>
      <c r="N18" s="74">
        <f t="shared" si="18"/>
        <v>0.71549965302983309</v>
      </c>
      <c r="O18" s="41">
        <f t="shared" si="4"/>
        <v>4</v>
      </c>
      <c r="P18" s="15">
        <f>J18+438.151</f>
        <v>1619.605</v>
      </c>
      <c r="Q18" s="40">
        <f t="shared" si="5"/>
        <v>0.64741315352710371</v>
      </c>
      <c r="R18" s="41">
        <f t="shared" si="6"/>
        <v>4</v>
      </c>
      <c r="S18" s="15">
        <f>J18+527.451</f>
        <v>1708.905</v>
      </c>
      <c r="T18" s="40">
        <f t="shared" si="7"/>
        <v>0.68310950826172745</v>
      </c>
      <c r="U18" s="41">
        <f t="shared" si="8"/>
        <v>3</v>
      </c>
      <c r="V18" s="15">
        <v>1725.251</v>
      </c>
      <c r="W18" s="39">
        <v>27.994</v>
      </c>
      <c r="X18" s="40">
        <f t="shared" si="9"/>
        <v>1.622604479000447E-2</v>
      </c>
      <c r="Y18" s="41">
        <f t="shared" si="10"/>
        <v>1</v>
      </c>
      <c r="Z18" s="57">
        <f t="shared" si="11"/>
        <v>3.1666666666666665</v>
      </c>
      <c r="AA18" s="60">
        <f t="shared" si="12"/>
        <v>3</v>
      </c>
      <c r="AB18" s="58">
        <v>1</v>
      </c>
      <c r="AC18" s="59">
        <f t="shared" si="13"/>
        <v>3</v>
      </c>
      <c r="AD18" s="60">
        <f t="shared" si="14"/>
        <v>2</v>
      </c>
      <c r="AE18" s="63">
        <v>2</v>
      </c>
      <c r="AF18" s="23">
        <v>2</v>
      </c>
      <c r="AG18" s="48">
        <v>6</v>
      </c>
      <c r="AH18" s="23">
        <f t="shared" si="15"/>
        <v>12</v>
      </c>
      <c r="AI18" s="94">
        <f t="shared" si="16"/>
        <v>3</v>
      </c>
    </row>
    <row r="19" spans="1:35" ht="15" x14ac:dyDescent="0.2">
      <c r="A19" s="34">
        <v>18</v>
      </c>
      <c r="B19" s="35" t="s">
        <v>56</v>
      </c>
      <c r="C19" s="15">
        <v>6666.25</v>
      </c>
      <c r="D19" s="39">
        <v>1637.2809999999999</v>
      </c>
      <c r="E19" s="39">
        <v>1613.3489999999999</v>
      </c>
      <c r="F19" s="39">
        <v>0</v>
      </c>
      <c r="G19" s="39">
        <v>67</v>
      </c>
      <c r="H19" s="40">
        <f t="shared" si="0"/>
        <v>0.24201747609225577</v>
      </c>
      <c r="I19" s="41">
        <f t="shared" si="1"/>
        <v>3</v>
      </c>
      <c r="J19" s="15">
        <v>709.11699999999996</v>
      </c>
      <c r="K19" s="40">
        <f t="shared" si="2"/>
        <v>0.43953106240497253</v>
      </c>
      <c r="L19" s="53">
        <f t="shared" si="3"/>
        <v>4</v>
      </c>
      <c r="M19" s="15">
        <f>J19+509.911</f>
        <v>1219.028</v>
      </c>
      <c r="N19" s="74">
        <f t="shared" si="18"/>
        <v>0.75558853044195651</v>
      </c>
      <c r="O19" s="41">
        <f t="shared" si="4"/>
        <v>4</v>
      </c>
      <c r="P19" s="15">
        <f>J19+248.535</f>
        <v>957.65199999999993</v>
      </c>
      <c r="Q19" s="40">
        <f t="shared" si="5"/>
        <v>0.59358018630810816</v>
      </c>
      <c r="R19" s="41">
        <f t="shared" si="6"/>
        <v>3</v>
      </c>
      <c r="S19" s="15">
        <f>382.857+J19</f>
        <v>1091.9739999999999</v>
      </c>
      <c r="T19" s="40">
        <f t="shared" si="7"/>
        <v>0.67683681584083788</v>
      </c>
      <c r="U19" s="41">
        <f t="shared" si="8"/>
        <v>3</v>
      </c>
      <c r="V19" s="15">
        <v>1032.5530000000001</v>
      </c>
      <c r="W19" s="39">
        <v>125.41800000000001</v>
      </c>
      <c r="X19" s="40">
        <f t="shared" si="9"/>
        <v>0.12146398296261789</v>
      </c>
      <c r="Y19" s="41">
        <f t="shared" si="10"/>
        <v>2</v>
      </c>
      <c r="Z19" s="57">
        <f t="shared" si="11"/>
        <v>3.1666666666666665</v>
      </c>
      <c r="AA19" s="60">
        <f t="shared" si="12"/>
        <v>3</v>
      </c>
      <c r="AB19" s="58">
        <v>1</v>
      </c>
      <c r="AC19" s="59">
        <f t="shared" si="13"/>
        <v>3</v>
      </c>
      <c r="AD19" s="60">
        <f t="shared" si="14"/>
        <v>2</v>
      </c>
      <c r="AE19" s="63">
        <v>2</v>
      </c>
      <c r="AF19" s="23">
        <v>2</v>
      </c>
      <c r="AG19" s="48">
        <v>6</v>
      </c>
      <c r="AH19" s="23">
        <f t="shared" si="15"/>
        <v>12</v>
      </c>
      <c r="AI19" s="94">
        <f t="shared" si="16"/>
        <v>3</v>
      </c>
    </row>
    <row r="20" spans="1:35" ht="15" x14ac:dyDescent="0.2">
      <c r="A20" s="34">
        <v>19</v>
      </c>
      <c r="B20" s="35" t="s">
        <v>57</v>
      </c>
      <c r="C20" s="15">
        <v>12234.14</v>
      </c>
      <c r="D20" s="39">
        <v>1151.0070000000001</v>
      </c>
      <c r="E20" s="39">
        <v>1054.9580000000001</v>
      </c>
      <c r="F20" s="39">
        <v>21.718</v>
      </c>
      <c r="G20" s="50">
        <v>70</v>
      </c>
      <c r="H20" s="40">
        <f t="shared" si="0"/>
        <v>8.6230662719243054E-2</v>
      </c>
      <c r="I20" s="41">
        <f t="shared" si="1"/>
        <v>1</v>
      </c>
      <c r="J20" s="15">
        <v>18.145</v>
      </c>
      <c r="K20" s="40">
        <f t="shared" si="2"/>
        <v>1.7199736861562259E-2</v>
      </c>
      <c r="L20" s="53">
        <f t="shared" si="3"/>
        <v>1</v>
      </c>
      <c r="M20" s="15">
        <f>233.594+J20</f>
        <v>251.739</v>
      </c>
      <c r="N20" s="74">
        <f t="shared" si="18"/>
        <v>0.23862466562649887</v>
      </c>
      <c r="O20" s="41">
        <f t="shared" si="4"/>
        <v>2</v>
      </c>
      <c r="P20" s="15">
        <f>J20+540.503</f>
        <v>558.64800000000002</v>
      </c>
      <c r="Q20" s="40">
        <f t="shared" si="5"/>
        <v>0.5295452520384698</v>
      </c>
      <c r="R20" s="41">
        <f t="shared" si="6"/>
        <v>3</v>
      </c>
      <c r="S20" s="15">
        <f>305.775+J20</f>
        <v>323.91999999999996</v>
      </c>
      <c r="T20" s="40">
        <f t="shared" si="7"/>
        <v>0.30704539896375016</v>
      </c>
      <c r="U20" s="41">
        <f t="shared" si="8"/>
        <v>2</v>
      </c>
      <c r="V20" s="15">
        <v>490.83600000000001</v>
      </c>
      <c r="W20" s="39">
        <v>175.952</v>
      </c>
      <c r="X20" s="40">
        <f t="shared" si="9"/>
        <v>0.35847411355320308</v>
      </c>
      <c r="Y20" s="41">
        <f t="shared" si="10"/>
        <v>4</v>
      </c>
      <c r="Z20" s="57">
        <f t="shared" si="11"/>
        <v>2.1666666666666665</v>
      </c>
      <c r="AA20" s="60">
        <f t="shared" si="12"/>
        <v>2</v>
      </c>
      <c r="AB20" s="58">
        <v>2</v>
      </c>
      <c r="AC20" s="59">
        <f t="shared" si="13"/>
        <v>4</v>
      </c>
      <c r="AD20" s="60">
        <f t="shared" si="14"/>
        <v>2</v>
      </c>
      <c r="AE20" s="63">
        <v>2</v>
      </c>
      <c r="AF20" s="23">
        <v>2</v>
      </c>
      <c r="AG20" s="48">
        <v>6</v>
      </c>
      <c r="AH20" s="23">
        <f t="shared" si="15"/>
        <v>12</v>
      </c>
      <c r="AI20" s="94">
        <f t="shared" si="16"/>
        <v>3</v>
      </c>
    </row>
    <row r="21" spans="1:35" ht="15" x14ac:dyDescent="0.2">
      <c r="A21" s="34">
        <v>20</v>
      </c>
      <c r="B21" s="35" t="s">
        <v>58</v>
      </c>
      <c r="C21" s="15">
        <v>5787.57</v>
      </c>
      <c r="D21" s="39">
        <v>2341.5990000000002</v>
      </c>
      <c r="E21" s="39">
        <v>2308.527</v>
      </c>
      <c r="F21" s="39">
        <v>12.855</v>
      </c>
      <c r="G21" s="39">
        <v>72</v>
      </c>
      <c r="H21" s="40">
        <f t="shared" si="0"/>
        <v>0.39887673064861423</v>
      </c>
      <c r="I21" s="41">
        <f t="shared" si="1"/>
        <v>4</v>
      </c>
      <c r="J21" s="15">
        <v>1525.846</v>
      </c>
      <c r="K21" s="40">
        <f t="shared" si="2"/>
        <v>0.66096086378890084</v>
      </c>
      <c r="L21" s="53">
        <f t="shared" si="3"/>
        <v>4</v>
      </c>
      <c r="M21" s="15">
        <f>552.653+J21</f>
        <v>2078.4989999999998</v>
      </c>
      <c r="N21" s="74">
        <f t="shared" si="18"/>
        <v>0.90035724078600765</v>
      </c>
      <c r="O21" s="41">
        <f t="shared" si="4"/>
        <v>4</v>
      </c>
      <c r="P21" s="15">
        <f>235.605+J21</f>
        <v>1761.451</v>
      </c>
      <c r="Q21" s="40">
        <f t="shared" si="5"/>
        <v>0.76301944919855824</v>
      </c>
      <c r="R21" s="41">
        <f t="shared" si="6"/>
        <v>4</v>
      </c>
      <c r="S21" s="15">
        <f>378.926+J21</f>
        <v>1904.7719999999999</v>
      </c>
      <c r="T21" s="40">
        <f t="shared" si="7"/>
        <v>0.82510276033158803</v>
      </c>
      <c r="U21" s="41">
        <f t="shared" si="8"/>
        <v>4</v>
      </c>
      <c r="V21" s="15">
        <v>1890.0609999999999</v>
      </c>
      <c r="W21" s="39">
        <v>507.31599999999997</v>
      </c>
      <c r="X21" s="40">
        <f t="shared" si="9"/>
        <v>0.26841250097219083</v>
      </c>
      <c r="Y21" s="41">
        <f t="shared" si="10"/>
        <v>4</v>
      </c>
      <c r="Z21" s="57">
        <f t="shared" si="11"/>
        <v>4</v>
      </c>
      <c r="AA21" s="60">
        <f t="shared" si="12"/>
        <v>4</v>
      </c>
      <c r="AB21" s="58">
        <v>1</v>
      </c>
      <c r="AC21" s="59">
        <f t="shared" si="13"/>
        <v>4</v>
      </c>
      <c r="AD21" s="60">
        <f t="shared" si="14"/>
        <v>2</v>
      </c>
      <c r="AE21" s="63">
        <v>2</v>
      </c>
      <c r="AF21" s="23">
        <v>2</v>
      </c>
      <c r="AG21" s="48">
        <v>6</v>
      </c>
      <c r="AH21" s="23">
        <f t="shared" si="15"/>
        <v>12</v>
      </c>
      <c r="AI21" s="94">
        <f t="shared" si="16"/>
        <v>3</v>
      </c>
    </row>
    <row r="22" spans="1:35" ht="15" x14ac:dyDescent="0.2">
      <c r="A22" s="34">
        <v>21</v>
      </c>
      <c r="B22" s="35" t="s">
        <v>59</v>
      </c>
      <c r="C22" s="15">
        <v>11054.75</v>
      </c>
      <c r="D22" s="39">
        <v>4153.817</v>
      </c>
      <c r="E22" s="39">
        <v>4060.7379999999998</v>
      </c>
      <c r="F22" s="39">
        <v>0</v>
      </c>
      <c r="G22" s="39">
        <v>72</v>
      </c>
      <c r="H22" s="40">
        <f t="shared" si="0"/>
        <v>0.36732969990275671</v>
      </c>
      <c r="I22" s="41">
        <f t="shared" si="1"/>
        <v>4</v>
      </c>
      <c r="J22" s="15">
        <v>3007.3589999999999</v>
      </c>
      <c r="K22" s="40">
        <f t="shared" si="2"/>
        <v>0.74059419740943644</v>
      </c>
      <c r="L22" s="53">
        <f t="shared" si="3"/>
        <v>4</v>
      </c>
      <c r="M22" s="15">
        <f>709.604+J22</f>
        <v>3716.9629999999997</v>
      </c>
      <c r="N22" s="74">
        <f t="shared" si="18"/>
        <v>0.91534174329887819</v>
      </c>
      <c r="O22" s="41">
        <f t="shared" si="4"/>
        <v>4</v>
      </c>
      <c r="P22" s="15">
        <f>J22+244.665</f>
        <v>3252.0239999999999</v>
      </c>
      <c r="Q22" s="40">
        <f t="shared" si="5"/>
        <v>0.80084556058529266</v>
      </c>
      <c r="R22" s="41">
        <f t="shared" si="6"/>
        <v>4</v>
      </c>
      <c r="S22" s="15">
        <f>J22+214.878</f>
        <v>3222.2370000000001</v>
      </c>
      <c r="T22" s="40">
        <f t="shared" si="7"/>
        <v>0.7935101944523385</v>
      </c>
      <c r="U22" s="41">
        <f t="shared" si="8"/>
        <v>3</v>
      </c>
      <c r="V22" s="15">
        <v>3660.2280000000001</v>
      </c>
      <c r="W22" s="39">
        <v>659.01300000000003</v>
      </c>
      <c r="X22" s="40">
        <f t="shared" si="9"/>
        <v>0.18004698067989208</v>
      </c>
      <c r="Y22" s="41">
        <f t="shared" si="10"/>
        <v>3</v>
      </c>
      <c r="Z22" s="57">
        <f t="shared" si="11"/>
        <v>3.6666666666666665</v>
      </c>
      <c r="AA22" s="60">
        <f t="shared" si="12"/>
        <v>4</v>
      </c>
      <c r="AB22" s="58">
        <v>1</v>
      </c>
      <c r="AC22" s="59">
        <f t="shared" si="13"/>
        <v>4</v>
      </c>
      <c r="AD22" s="60">
        <f t="shared" si="14"/>
        <v>2</v>
      </c>
      <c r="AE22" s="63">
        <v>2</v>
      </c>
      <c r="AF22" s="23">
        <v>2</v>
      </c>
      <c r="AG22" s="48">
        <v>6</v>
      </c>
      <c r="AH22" s="23">
        <f t="shared" si="15"/>
        <v>12</v>
      </c>
      <c r="AI22" s="94">
        <f t="shared" si="16"/>
        <v>3</v>
      </c>
    </row>
    <row r="23" spans="1:35" ht="15" x14ac:dyDescent="0.2">
      <c r="A23" s="34">
        <v>22</v>
      </c>
      <c r="B23" s="35" t="s">
        <v>60</v>
      </c>
      <c r="C23" s="15">
        <v>10929.79</v>
      </c>
      <c r="D23" s="39">
        <f>1984.319+357.178+1342.102</f>
        <v>3683.5990000000002</v>
      </c>
      <c r="E23" s="39">
        <f>1935.564+357.178+1217.851</f>
        <v>3510.5930000000003</v>
      </c>
      <c r="F23" s="39">
        <v>432.149</v>
      </c>
      <c r="G23" s="39">
        <v>71</v>
      </c>
      <c r="H23" s="40">
        <f t="shared" si="0"/>
        <v>0.32119491774315884</v>
      </c>
      <c r="I23" s="41">
        <f t="shared" si="1"/>
        <v>4</v>
      </c>
      <c r="J23" s="15">
        <f>1130.688+1034.969</f>
        <v>2165.6570000000002</v>
      </c>
      <c r="K23" s="40">
        <f t="shared" si="2"/>
        <v>0.61689207492865161</v>
      </c>
      <c r="L23" s="53">
        <f t="shared" si="3"/>
        <v>4</v>
      </c>
      <c r="M23" s="15">
        <f>525.727+J23+102.523+34.556+0.034</f>
        <v>2828.4970000000003</v>
      </c>
      <c r="N23" s="74">
        <f t="shared" si="18"/>
        <v>0.80570348086491372</v>
      </c>
      <c r="O23" s="41">
        <f t="shared" si="4"/>
        <v>4</v>
      </c>
      <c r="P23" s="15">
        <f>211.362+J23</f>
        <v>2377.0190000000002</v>
      </c>
      <c r="Q23" s="40">
        <f t="shared" si="5"/>
        <v>0.67709899723494005</v>
      </c>
      <c r="R23" s="41">
        <f t="shared" si="6"/>
        <v>4</v>
      </c>
      <c r="S23" s="15">
        <f>231.043+J23</f>
        <v>2396.7000000000003</v>
      </c>
      <c r="T23" s="40">
        <f t="shared" si="7"/>
        <v>0.68270517260189378</v>
      </c>
      <c r="U23" s="41">
        <f t="shared" si="8"/>
        <v>3</v>
      </c>
      <c r="V23" s="15">
        <v>1436.336</v>
      </c>
      <c r="W23" s="39">
        <v>289.625</v>
      </c>
      <c r="X23" s="40">
        <f t="shared" si="9"/>
        <v>0.20164153791313452</v>
      </c>
      <c r="Y23" s="41">
        <f t="shared" si="10"/>
        <v>3</v>
      </c>
      <c r="Z23" s="57">
        <f t="shared" si="11"/>
        <v>3.6666666666666665</v>
      </c>
      <c r="AA23" s="60">
        <f t="shared" si="12"/>
        <v>4</v>
      </c>
      <c r="AB23" s="58">
        <v>1</v>
      </c>
      <c r="AC23" s="59">
        <f t="shared" si="13"/>
        <v>4</v>
      </c>
      <c r="AD23" s="60">
        <f t="shared" si="14"/>
        <v>2</v>
      </c>
      <c r="AE23" s="63">
        <v>2</v>
      </c>
      <c r="AF23" s="23">
        <v>2</v>
      </c>
      <c r="AG23" s="48">
        <v>6</v>
      </c>
      <c r="AH23" s="23">
        <f t="shared" si="15"/>
        <v>12</v>
      </c>
      <c r="AI23" s="94">
        <f t="shared" si="16"/>
        <v>3</v>
      </c>
    </row>
    <row r="24" spans="1:35" ht="15" x14ac:dyDescent="0.2">
      <c r="A24" s="34">
        <v>23</v>
      </c>
      <c r="B24" s="35" t="s">
        <v>61</v>
      </c>
      <c r="C24" s="15">
        <v>8797.7000000000007</v>
      </c>
      <c r="D24" s="39">
        <v>3556.8110000000001</v>
      </c>
      <c r="E24" s="39">
        <v>3448.5309999999999</v>
      </c>
      <c r="F24" s="39">
        <v>6.1180000000000003</v>
      </c>
      <c r="G24" s="39">
        <v>72</v>
      </c>
      <c r="H24" s="40">
        <f t="shared" si="0"/>
        <v>0.39198097229957823</v>
      </c>
      <c r="I24" s="41">
        <f t="shared" si="1"/>
        <v>4</v>
      </c>
      <c r="J24" s="15">
        <v>2232.8560000000002</v>
      </c>
      <c r="K24" s="40">
        <f t="shared" si="2"/>
        <v>0.6474803329301666</v>
      </c>
      <c r="L24" s="53">
        <f t="shared" si="3"/>
        <v>4</v>
      </c>
      <c r="M24" s="15">
        <f>693.54+J24</f>
        <v>2926.3960000000002</v>
      </c>
      <c r="N24" s="74">
        <f t="shared" si="18"/>
        <v>0.84859205267402271</v>
      </c>
      <c r="O24" s="41">
        <f t="shared" si="4"/>
        <v>4</v>
      </c>
      <c r="P24" s="15">
        <f>477.027+J24</f>
        <v>2709.8830000000003</v>
      </c>
      <c r="Q24" s="40">
        <f t="shared" si="5"/>
        <v>0.7858079280714021</v>
      </c>
      <c r="R24" s="41">
        <f t="shared" si="6"/>
        <v>4</v>
      </c>
      <c r="S24" s="15">
        <f>370.379+J24</f>
        <v>2603.2350000000001</v>
      </c>
      <c r="T24" s="40">
        <f t="shared" si="7"/>
        <v>0.7548822962588998</v>
      </c>
      <c r="U24" s="41">
        <f t="shared" si="8"/>
        <v>3</v>
      </c>
      <c r="V24" s="15">
        <v>2788.0230000000001</v>
      </c>
      <c r="W24" s="39">
        <v>194.31899999999999</v>
      </c>
      <c r="X24" s="40">
        <f t="shared" si="9"/>
        <v>6.9697775090090716E-2</v>
      </c>
      <c r="Y24" s="41">
        <f t="shared" si="10"/>
        <v>2</v>
      </c>
      <c r="Z24" s="57">
        <f t="shared" si="11"/>
        <v>3.5</v>
      </c>
      <c r="AA24" s="60">
        <f t="shared" si="12"/>
        <v>4</v>
      </c>
      <c r="AB24" s="58">
        <v>1</v>
      </c>
      <c r="AC24" s="59">
        <f t="shared" si="13"/>
        <v>4</v>
      </c>
      <c r="AD24" s="60">
        <f t="shared" si="14"/>
        <v>2</v>
      </c>
      <c r="AE24" s="63">
        <v>2</v>
      </c>
      <c r="AF24" s="23">
        <v>2</v>
      </c>
      <c r="AG24" s="48">
        <v>6</v>
      </c>
      <c r="AH24" s="23">
        <f t="shared" si="15"/>
        <v>12</v>
      </c>
      <c r="AI24" s="94">
        <f t="shared" si="16"/>
        <v>3</v>
      </c>
    </row>
    <row r="25" spans="1:35" ht="15" x14ac:dyDescent="0.2">
      <c r="A25" s="34">
        <v>24</v>
      </c>
      <c r="B25" s="35" t="s">
        <v>62</v>
      </c>
      <c r="C25" s="15">
        <v>8600.08</v>
      </c>
      <c r="D25" s="39">
        <v>2923.17</v>
      </c>
      <c r="E25" s="39">
        <v>2876.317</v>
      </c>
      <c r="F25" s="39">
        <v>0</v>
      </c>
      <c r="G25" s="39">
        <v>70</v>
      </c>
      <c r="H25" s="40">
        <f t="shared" si="0"/>
        <v>0.33445235393159134</v>
      </c>
      <c r="I25" s="41">
        <f t="shared" si="1"/>
        <v>4</v>
      </c>
      <c r="J25" s="15">
        <v>950.33</v>
      </c>
      <c r="K25" s="40">
        <f t="shared" si="2"/>
        <v>0.33039821410505171</v>
      </c>
      <c r="L25" s="53">
        <f t="shared" si="3"/>
        <v>3</v>
      </c>
      <c r="M25" s="15">
        <f>818.411+J25</f>
        <v>1768.741</v>
      </c>
      <c r="N25" s="74">
        <f>M25/D25</f>
        <v>0.60507633835869956</v>
      </c>
      <c r="O25" s="41">
        <f t="shared" si="4"/>
        <v>4</v>
      </c>
      <c r="P25" s="15">
        <f>753.612+J25</f>
        <v>1703.942</v>
      </c>
      <c r="Q25" s="40">
        <f t="shared" si="5"/>
        <v>0.59240410566707358</v>
      </c>
      <c r="R25" s="41">
        <f t="shared" si="6"/>
        <v>3</v>
      </c>
      <c r="S25" s="15">
        <f>758.553+J25</f>
        <v>1708.883</v>
      </c>
      <c r="T25" s="40">
        <f t="shared" si="7"/>
        <v>0.59412192745097292</v>
      </c>
      <c r="U25" s="41">
        <f t="shared" si="8"/>
        <v>3</v>
      </c>
      <c r="V25" s="15">
        <v>1816.8920000000001</v>
      </c>
      <c r="W25" s="39">
        <v>769.34</v>
      </c>
      <c r="X25" s="40">
        <f t="shared" si="9"/>
        <v>0.42343738648197032</v>
      </c>
      <c r="Y25" s="41">
        <f t="shared" si="10"/>
        <v>4</v>
      </c>
      <c r="Z25" s="57">
        <f t="shared" si="11"/>
        <v>3.5</v>
      </c>
      <c r="AA25" s="60">
        <f t="shared" si="12"/>
        <v>4</v>
      </c>
      <c r="AB25" s="58">
        <v>1</v>
      </c>
      <c r="AC25" s="59">
        <f t="shared" si="13"/>
        <v>4</v>
      </c>
      <c r="AD25" s="60">
        <f t="shared" si="14"/>
        <v>2</v>
      </c>
      <c r="AE25" s="63">
        <v>2</v>
      </c>
      <c r="AF25" s="23">
        <v>2</v>
      </c>
      <c r="AG25" s="48">
        <v>6</v>
      </c>
      <c r="AH25" s="23">
        <f t="shared" si="15"/>
        <v>12</v>
      </c>
      <c r="AI25" s="94">
        <f t="shared" si="16"/>
        <v>3</v>
      </c>
    </row>
    <row r="26" spans="1:35" ht="15" x14ac:dyDescent="0.2">
      <c r="A26" s="34">
        <v>25</v>
      </c>
      <c r="B26" s="35" t="s">
        <v>63</v>
      </c>
      <c r="C26" s="15">
        <v>3738.95</v>
      </c>
      <c r="D26" s="39">
        <f>2354.048+134.417</f>
        <v>2488.4649999999997</v>
      </c>
      <c r="E26" s="39">
        <f>2274.783+132.795</f>
        <v>2407.578</v>
      </c>
      <c r="F26" s="39">
        <v>18.253</v>
      </c>
      <c r="G26" s="39">
        <v>65</v>
      </c>
      <c r="H26" s="40">
        <f t="shared" si="0"/>
        <v>0.64391821233233937</v>
      </c>
      <c r="I26" s="41">
        <f t="shared" si="1"/>
        <v>4</v>
      </c>
      <c r="J26" s="15">
        <f>1642+132.495</f>
        <v>1774.4949999999999</v>
      </c>
      <c r="K26" s="40">
        <f t="shared" si="2"/>
        <v>0.73704569488506699</v>
      </c>
      <c r="L26" s="53">
        <f t="shared" si="3"/>
        <v>4</v>
      </c>
      <c r="M26" s="15">
        <f>J26+588.519</f>
        <v>2363.0140000000001</v>
      </c>
      <c r="N26" s="74">
        <f>M26/E26</f>
        <v>0.98149011163916611</v>
      </c>
      <c r="O26" s="41">
        <f t="shared" si="4"/>
        <v>4</v>
      </c>
      <c r="P26" s="15">
        <f>37.249+J26</f>
        <v>1811.7439999999999</v>
      </c>
      <c r="Q26" s="40">
        <f t="shared" si="5"/>
        <v>0.75251726008461617</v>
      </c>
      <c r="R26" s="41">
        <f t="shared" si="6"/>
        <v>4</v>
      </c>
      <c r="S26" s="15">
        <f>J26+241.035</f>
        <v>2015.53</v>
      </c>
      <c r="T26" s="40">
        <f t="shared" si="7"/>
        <v>0.83716083134170527</v>
      </c>
      <c r="U26" s="41">
        <f t="shared" si="8"/>
        <v>4</v>
      </c>
      <c r="V26" s="15">
        <v>2021.9949999999999</v>
      </c>
      <c r="W26" s="39">
        <v>103.97</v>
      </c>
      <c r="X26" s="40">
        <f t="shared" si="9"/>
        <v>5.1419513895929518E-2</v>
      </c>
      <c r="Y26" s="41">
        <f t="shared" si="10"/>
        <v>2</v>
      </c>
      <c r="Z26" s="57">
        <f t="shared" si="11"/>
        <v>3.6666666666666665</v>
      </c>
      <c r="AA26" s="60">
        <f t="shared" si="12"/>
        <v>4</v>
      </c>
      <c r="AB26" s="58">
        <v>1</v>
      </c>
      <c r="AC26" s="59">
        <f t="shared" si="13"/>
        <v>4</v>
      </c>
      <c r="AD26" s="60">
        <f t="shared" si="14"/>
        <v>2</v>
      </c>
      <c r="AE26" s="63">
        <v>2</v>
      </c>
      <c r="AF26" s="23">
        <v>2</v>
      </c>
      <c r="AG26" s="48">
        <v>6</v>
      </c>
      <c r="AH26" s="23">
        <f t="shared" si="15"/>
        <v>12</v>
      </c>
      <c r="AI26" s="94">
        <f t="shared" si="16"/>
        <v>3</v>
      </c>
    </row>
    <row r="27" spans="1:35" ht="15.75" thickBot="1" x14ac:dyDescent="0.25">
      <c r="A27" s="37">
        <v>26</v>
      </c>
      <c r="B27" s="38" t="s">
        <v>64</v>
      </c>
      <c r="C27" s="44">
        <v>8155.45</v>
      </c>
      <c r="D27" s="52">
        <v>3218.0309999999999</v>
      </c>
      <c r="E27" s="52">
        <v>3163.826</v>
      </c>
      <c r="F27" s="52">
        <v>0</v>
      </c>
      <c r="G27" s="52">
        <v>62</v>
      </c>
      <c r="H27" s="45">
        <f t="shared" si="0"/>
        <v>0.38794008914284311</v>
      </c>
      <c r="I27" s="46">
        <f t="shared" si="1"/>
        <v>4</v>
      </c>
      <c r="J27" s="44">
        <v>2280.2869999999998</v>
      </c>
      <c r="K27" s="45">
        <f t="shared" si="2"/>
        <v>0.72073717075464949</v>
      </c>
      <c r="L27" s="54">
        <f t="shared" si="3"/>
        <v>4</v>
      </c>
      <c r="M27" s="44">
        <f>659.567+J27</f>
        <v>2939.8539999999998</v>
      </c>
      <c r="N27" s="78">
        <f>M27/D27</f>
        <v>0.91355676809825637</v>
      </c>
      <c r="O27" s="46">
        <f t="shared" si="4"/>
        <v>4</v>
      </c>
      <c r="P27" s="44">
        <f>187.201+J27</f>
        <v>2467.4879999999998</v>
      </c>
      <c r="Q27" s="45">
        <f t="shared" si="5"/>
        <v>0.77990635388924667</v>
      </c>
      <c r="R27" s="46">
        <f t="shared" si="6"/>
        <v>4</v>
      </c>
      <c r="S27" s="44">
        <f>505.368+J27</f>
        <v>2785.6549999999997</v>
      </c>
      <c r="T27" s="45">
        <f t="shared" si="7"/>
        <v>0.88047035456437861</v>
      </c>
      <c r="U27" s="46">
        <f t="shared" si="8"/>
        <v>4</v>
      </c>
      <c r="V27" s="44">
        <v>2568.8589999999999</v>
      </c>
      <c r="W27" s="52">
        <v>426.37599999999998</v>
      </c>
      <c r="X27" s="45">
        <f t="shared" si="9"/>
        <v>0.16597874776311194</v>
      </c>
      <c r="Y27" s="46">
        <f t="shared" si="10"/>
        <v>3</v>
      </c>
      <c r="Z27" s="57">
        <f t="shared" si="11"/>
        <v>3.8333333333333335</v>
      </c>
      <c r="AA27" s="61">
        <f t="shared" si="12"/>
        <v>4</v>
      </c>
      <c r="AB27" s="58">
        <v>1</v>
      </c>
      <c r="AC27" s="59">
        <f t="shared" si="13"/>
        <v>4</v>
      </c>
      <c r="AD27" s="61">
        <f t="shared" si="14"/>
        <v>2</v>
      </c>
      <c r="AE27" s="80">
        <v>2</v>
      </c>
      <c r="AF27" s="23">
        <v>2</v>
      </c>
      <c r="AG27" s="48">
        <v>6</v>
      </c>
      <c r="AH27" s="23">
        <f t="shared" si="15"/>
        <v>12</v>
      </c>
      <c r="AI27" s="94">
        <f t="shared" si="16"/>
        <v>3</v>
      </c>
    </row>
  </sheetData>
  <sortState xmlns:xlrd2="http://schemas.microsoft.com/office/spreadsheetml/2017/richdata2" ref="A2:AI27">
    <sortCondition ref="A2:A27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28"/>
  <sheetViews>
    <sheetView zoomScale="70" zoomScaleNormal="70" workbookViewId="0">
      <selection activeCell="AA6" sqref="AA6"/>
    </sheetView>
  </sheetViews>
  <sheetFormatPr defaultColWidth="8.7109375" defaultRowHeight="12.75" x14ac:dyDescent="0.2"/>
  <cols>
    <col min="1" max="1" width="8.140625" style="2" customWidth="1"/>
    <col min="2" max="2" width="25.5703125" style="2" customWidth="1"/>
    <col min="3" max="3" width="14.42578125" style="2" customWidth="1"/>
    <col min="4" max="4" width="15.5703125" style="6" customWidth="1"/>
    <col min="5" max="6" width="14.140625" style="6" customWidth="1"/>
    <col min="7" max="7" width="14.7109375" style="2" customWidth="1"/>
    <col min="8" max="8" width="14.140625" style="2" customWidth="1"/>
    <col min="9" max="9" width="15.7109375" style="2" customWidth="1"/>
    <col min="10" max="11" width="14.7109375" style="2" customWidth="1"/>
    <col min="12" max="12" width="16.140625" style="2" customWidth="1"/>
    <col min="13" max="15" width="15.140625" style="2" customWidth="1"/>
    <col min="16" max="16" width="21.7109375" style="2" customWidth="1"/>
    <col min="17" max="17" width="14.7109375" style="2" customWidth="1"/>
    <col min="18" max="18" width="16.42578125" style="3" customWidth="1"/>
    <col min="19" max="20" width="15.140625" style="2" customWidth="1"/>
    <col min="21" max="21" width="15.140625" style="3" customWidth="1"/>
    <col min="22" max="22" width="19.5703125" style="2" customWidth="1"/>
    <col min="23" max="23" width="17.7109375" style="2" customWidth="1"/>
    <col min="24" max="24" width="15.5703125" style="3" customWidth="1"/>
    <col min="25" max="25" width="19.140625" style="2" customWidth="1"/>
    <col min="26" max="26" width="16.5703125" style="2" customWidth="1"/>
    <col min="27" max="27" width="20.85546875" style="2" customWidth="1"/>
    <col min="28" max="28" width="17.5703125" style="3" customWidth="1"/>
    <col min="29" max="29" width="15.7109375" style="2" customWidth="1"/>
    <col min="30" max="30" width="15.42578125" style="27" customWidth="1"/>
    <col min="31" max="31" width="14.5703125" style="27" customWidth="1"/>
    <col min="32" max="32" width="15.140625" style="27" customWidth="1"/>
    <col min="33" max="33" width="16" style="27" customWidth="1"/>
    <col min="34" max="34" width="15.140625" style="27" customWidth="1"/>
    <col min="35" max="35" width="17" style="27" customWidth="1"/>
    <col min="36" max="36" width="18" style="27" customWidth="1"/>
    <col min="37" max="37" width="16.28515625" style="27" customWidth="1"/>
    <col min="38" max="38" width="14.42578125" style="2" customWidth="1"/>
    <col min="39" max="16384" width="8.7109375" style="2"/>
  </cols>
  <sheetData>
    <row r="1" spans="1:38" ht="114.75" x14ac:dyDescent="0.2">
      <c r="A1" s="32" t="s">
        <v>0</v>
      </c>
      <c r="B1" s="33" t="s">
        <v>1</v>
      </c>
      <c r="C1" s="12" t="s">
        <v>2</v>
      </c>
      <c r="D1" s="13" t="s">
        <v>3</v>
      </c>
      <c r="E1" s="13" t="s">
        <v>4</v>
      </c>
      <c r="F1" s="13" t="s">
        <v>66</v>
      </c>
      <c r="G1" s="13" t="s">
        <v>6</v>
      </c>
      <c r="H1" s="13" t="s">
        <v>7</v>
      </c>
      <c r="I1" s="14" t="s">
        <v>8</v>
      </c>
      <c r="J1" s="12" t="s">
        <v>67</v>
      </c>
      <c r="K1" s="13" t="s">
        <v>10</v>
      </c>
      <c r="L1" s="14" t="s">
        <v>11</v>
      </c>
      <c r="M1" s="12" t="s">
        <v>12</v>
      </c>
      <c r="N1" s="13" t="s">
        <v>13</v>
      </c>
      <c r="O1" s="14" t="s">
        <v>14</v>
      </c>
      <c r="P1" s="12" t="s">
        <v>88</v>
      </c>
      <c r="Q1" s="13" t="s">
        <v>89</v>
      </c>
      <c r="R1" s="14" t="s">
        <v>17</v>
      </c>
      <c r="S1" s="12" t="s">
        <v>68</v>
      </c>
      <c r="T1" s="13" t="s">
        <v>69</v>
      </c>
      <c r="U1" s="14" t="s">
        <v>21</v>
      </c>
      <c r="V1" s="12" t="s">
        <v>22</v>
      </c>
      <c r="W1" s="13" t="s">
        <v>23</v>
      </c>
      <c r="X1" s="14" t="s">
        <v>24</v>
      </c>
      <c r="Y1" s="20" t="s">
        <v>25</v>
      </c>
      <c r="Z1" s="13" t="s">
        <v>26</v>
      </c>
      <c r="AA1" s="13" t="s">
        <v>74</v>
      </c>
      <c r="AB1" s="14" t="s">
        <v>90</v>
      </c>
      <c r="AC1" s="68" t="s">
        <v>29</v>
      </c>
      <c r="AD1" s="22" t="s">
        <v>30</v>
      </c>
      <c r="AE1" s="11" t="s">
        <v>31</v>
      </c>
      <c r="AF1" s="24" t="s">
        <v>32</v>
      </c>
      <c r="AG1" s="22" t="s">
        <v>33</v>
      </c>
      <c r="AH1" s="22" t="s">
        <v>34</v>
      </c>
      <c r="AI1" s="10" t="s">
        <v>35</v>
      </c>
      <c r="AJ1" s="10" t="s">
        <v>36</v>
      </c>
      <c r="AK1" s="10" t="s">
        <v>37</v>
      </c>
      <c r="AL1" s="10" t="s">
        <v>38</v>
      </c>
    </row>
    <row r="2" spans="1:38" ht="15" x14ac:dyDescent="0.2">
      <c r="A2" s="34">
        <v>1</v>
      </c>
      <c r="B2" s="47" t="s">
        <v>39</v>
      </c>
      <c r="C2" s="15">
        <v>24016.080000000002</v>
      </c>
      <c r="D2" s="39">
        <v>6385.7330000000002</v>
      </c>
      <c r="E2" s="39">
        <v>6168.7169999999996</v>
      </c>
      <c r="F2" s="39">
        <v>36.640999999999998</v>
      </c>
      <c r="G2" s="39">
        <v>67</v>
      </c>
      <c r="H2" s="40">
        <f t="shared" ref="H2:H27" si="0">E2/C2</f>
        <v>0.25685778028720752</v>
      </c>
      <c r="I2" s="41">
        <f t="shared" ref="I2:I27" si="1">IF(H2&lt;10%,1,IF(H2&lt;20%,2,IF(H2&lt;30%,3,4)))</f>
        <v>3</v>
      </c>
      <c r="J2" s="15">
        <f>1687.589+12.365+3.022+1.171</f>
        <v>1704.1469999999999</v>
      </c>
      <c r="K2" s="40">
        <f t="shared" ref="K2:K27" si="2">J2/E2</f>
        <v>0.27625631067205708</v>
      </c>
      <c r="L2" s="41">
        <f t="shared" ref="L2:L27" si="3">IF(K2&lt;5%,1,IF(K2&lt;15%,2,IF(K2&lt;30%,3,4)))</f>
        <v>3</v>
      </c>
      <c r="M2" s="15">
        <f>906.724+13.734</f>
        <v>920.45800000000008</v>
      </c>
      <c r="N2" s="40">
        <f t="shared" ref="N2:N27" si="4">M2/E2</f>
        <v>0.14921384787144557</v>
      </c>
      <c r="O2" s="53">
        <f t="shared" ref="O2:O27" si="5">IF(N2&lt;5%,1,IF(N2&lt;20%,2,IF(N2&lt;40%,3,4)))</f>
        <v>2</v>
      </c>
      <c r="P2" s="15">
        <f>1794.6+M2</f>
        <v>2715.058</v>
      </c>
      <c r="Q2" s="74">
        <f>P2/E2</f>
        <v>0.44013333728877496</v>
      </c>
      <c r="R2" s="41">
        <f t="shared" ref="R2:R27" si="6">IF(Q2&lt;10%,1,IF(Q2&lt;30%,2,IF(Q2&lt;50%,3,IF(Q2&gt;50%,4))))</f>
        <v>3</v>
      </c>
      <c r="S2" s="15">
        <v>3356.2060000000001</v>
      </c>
      <c r="T2" s="40">
        <f t="shared" ref="T2:T27" si="7">S2/E2</f>
        <v>0.54406872612246604</v>
      </c>
      <c r="U2" s="41">
        <f t="shared" ref="U2:U27" si="8">IF(T2&lt;10%,4,IF(T2&lt;20%,3,IF(T2&lt;30%,2,IF(T2&lt;60%,1))))</f>
        <v>1</v>
      </c>
      <c r="V2" s="15">
        <v>2661.2779999999998</v>
      </c>
      <c r="W2" s="40">
        <f t="shared" ref="W2:W27" si="9">V2/E2</f>
        <v>0.43141515488552967</v>
      </c>
      <c r="X2" s="41">
        <f t="shared" ref="X2:X27" si="10">IF(W2&lt;10%,1,IF(W2&lt;50%,2,IF(W2&lt;80%,3,IF(W2&gt;80%,4))))</f>
        <v>2</v>
      </c>
      <c r="Y2" s="15">
        <v>2752.9920000000002</v>
      </c>
      <c r="Z2" s="39">
        <v>986.7</v>
      </c>
      <c r="AA2" s="40">
        <f t="shared" ref="AA2:AA27" si="11">Z2/Y2</f>
        <v>0.35841004986574604</v>
      </c>
      <c r="AB2" s="41">
        <f t="shared" ref="AB2:AB27" si="12">IF(AA2&lt;5%,1,IF(AA2&lt;15%,2,IF(AA2&lt;25%,3,IF(AA2&lt;40,4))))</f>
        <v>4</v>
      </c>
      <c r="AC2" s="57">
        <f t="shared" ref="AC2:AC27" si="13">(AB2+X2+U2+R2+O2+L2+I2)/7</f>
        <v>2.5714285714285716</v>
      </c>
      <c r="AD2" s="86">
        <f t="shared" ref="AD2:AD27" si="14">IF(AC2&lt;1.5,1,IF(AC2&lt;2.5,2,IF(AC2&lt;3.5,3,4)))</f>
        <v>3</v>
      </c>
      <c r="AE2" s="58">
        <v>3</v>
      </c>
      <c r="AF2" s="59">
        <f t="shared" ref="AF2:AF27" si="15">AD2*AE2</f>
        <v>9</v>
      </c>
      <c r="AG2" s="60">
        <f t="shared" ref="AG2:AG27" si="16">IF(AF2&lt;3,1,IF(AF2&lt;5,2,IF(AF2&lt;12,3,4)))</f>
        <v>3</v>
      </c>
      <c r="AH2" s="64">
        <v>3</v>
      </c>
      <c r="AI2" s="23">
        <v>1</v>
      </c>
      <c r="AJ2" s="48">
        <v>6</v>
      </c>
      <c r="AK2" s="23">
        <f>AI2*AJ2</f>
        <v>6</v>
      </c>
      <c r="AL2" s="96">
        <f>IF(AK2&lt;6,1,IF(AK2&lt;12,2,IF(AK2&lt;18,3,4)))</f>
        <v>2</v>
      </c>
    </row>
    <row r="3" spans="1:38" ht="15" x14ac:dyDescent="0.2">
      <c r="A3" s="34">
        <v>2</v>
      </c>
      <c r="B3" s="47" t="s">
        <v>40</v>
      </c>
      <c r="C3" s="15">
        <v>3218.24</v>
      </c>
      <c r="D3" s="39">
        <v>1530.242</v>
      </c>
      <c r="E3" s="39">
        <v>1499.578</v>
      </c>
      <c r="F3" s="39">
        <v>0.13700000000000001</v>
      </c>
      <c r="G3" s="39">
        <v>71</v>
      </c>
      <c r="H3" s="40">
        <f t="shared" si="0"/>
        <v>0.46596214079745452</v>
      </c>
      <c r="I3" s="41">
        <f t="shared" si="1"/>
        <v>4</v>
      </c>
      <c r="J3" s="15">
        <v>362.15199999999999</v>
      </c>
      <c r="K3" s="40">
        <f t="shared" si="2"/>
        <v>0.24150260940077808</v>
      </c>
      <c r="L3" s="41">
        <f t="shared" si="3"/>
        <v>3</v>
      </c>
      <c r="M3" s="15">
        <v>532.70000000000005</v>
      </c>
      <c r="N3" s="40">
        <f t="shared" si="4"/>
        <v>0.35523327229393875</v>
      </c>
      <c r="O3" s="53">
        <f t="shared" si="5"/>
        <v>3</v>
      </c>
      <c r="P3" s="15">
        <f>765.278+M3</f>
        <v>1297.9780000000001</v>
      </c>
      <c r="Q3" s="74">
        <f>P3/E3</f>
        <v>0.86556217815945558</v>
      </c>
      <c r="R3" s="41">
        <f t="shared" si="6"/>
        <v>4</v>
      </c>
      <c r="S3" s="15">
        <v>67.436999999999998</v>
      </c>
      <c r="T3" s="40">
        <f t="shared" si="7"/>
        <v>4.4970651743357133E-2</v>
      </c>
      <c r="U3" s="41">
        <f t="shared" si="8"/>
        <v>4</v>
      </c>
      <c r="V3" s="15">
        <f>569.513+M3</f>
        <v>1102.2130000000002</v>
      </c>
      <c r="W3" s="40">
        <f t="shared" si="9"/>
        <v>0.73501545101355192</v>
      </c>
      <c r="X3" s="41">
        <f t="shared" si="10"/>
        <v>3</v>
      </c>
      <c r="Y3" s="15">
        <v>1269.4590000000001</v>
      </c>
      <c r="Z3" s="39">
        <v>413.60700000000003</v>
      </c>
      <c r="AA3" s="40">
        <f t="shared" si="11"/>
        <v>0.32581359460998743</v>
      </c>
      <c r="AB3" s="41">
        <f t="shared" si="12"/>
        <v>4</v>
      </c>
      <c r="AC3" s="57">
        <f t="shared" si="13"/>
        <v>3.5714285714285716</v>
      </c>
      <c r="AD3" s="86">
        <f t="shared" si="14"/>
        <v>4</v>
      </c>
      <c r="AE3" s="58">
        <v>3</v>
      </c>
      <c r="AF3" s="59">
        <f t="shared" si="15"/>
        <v>12</v>
      </c>
      <c r="AG3" s="60">
        <f t="shared" si="16"/>
        <v>4</v>
      </c>
      <c r="AH3" s="65">
        <v>4</v>
      </c>
      <c r="AI3" s="23">
        <v>1</v>
      </c>
      <c r="AJ3" s="48">
        <v>6</v>
      </c>
      <c r="AK3" s="23">
        <f t="shared" ref="AK3:AK27" si="17">AI3*AJ3</f>
        <v>6</v>
      </c>
      <c r="AL3" s="96">
        <f t="shared" ref="AL3:AL27" si="18">IF(AK3&lt;6,1,IF(AK3&lt;12,2,IF(AK3&lt;18,3,4)))</f>
        <v>2</v>
      </c>
    </row>
    <row r="4" spans="1:38" ht="15" x14ac:dyDescent="0.2">
      <c r="A4" s="34">
        <v>3</v>
      </c>
      <c r="B4" s="49" t="s">
        <v>41</v>
      </c>
      <c r="C4" s="15">
        <v>1150.71</v>
      </c>
      <c r="D4" s="39">
        <v>53.204999999999998</v>
      </c>
      <c r="E4" s="39">
        <v>50.284999999999997</v>
      </c>
      <c r="F4" s="39">
        <v>14.334</v>
      </c>
      <c r="G4" s="39">
        <v>80</v>
      </c>
      <c r="H4" s="40">
        <f t="shared" si="0"/>
        <v>4.3699107507538817E-2</v>
      </c>
      <c r="I4" s="41">
        <f t="shared" si="1"/>
        <v>1</v>
      </c>
      <c r="J4" s="15">
        <v>38.387</v>
      </c>
      <c r="K4" s="40">
        <f t="shared" si="2"/>
        <v>0.76338868449835939</v>
      </c>
      <c r="L4" s="41">
        <f t="shared" si="3"/>
        <v>4</v>
      </c>
      <c r="M4" s="15">
        <v>3.2050000000000001</v>
      </c>
      <c r="N4" s="40">
        <f t="shared" si="4"/>
        <v>6.3736700805409177E-2</v>
      </c>
      <c r="O4" s="53">
        <f t="shared" si="5"/>
        <v>2</v>
      </c>
      <c r="P4" s="15">
        <f>M4+13.698</f>
        <v>16.902999999999999</v>
      </c>
      <c r="Q4" s="74">
        <f>P4/D4</f>
        <v>0.31769570529085611</v>
      </c>
      <c r="R4" s="41">
        <f t="shared" si="6"/>
        <v>3</v>
      </c>
      <c r="S4" s="15">
        <v>3.5619999999999998</v>
      </c>
      <c r="T4" s="40">
        <f t="shared" si="7"/>
        <v>7.0836233469225421E-2</v>
      </c>
      <c r="U4" s="41">
        <f t="shared" si="8"/>
        <v>4</v>
      </c>
      <c r="V4" s="15">
        <f>6.484+M4</f>
        <v>9.6890000000000001</v>
      </c>
      <c r="W4" s="40">
        <f t="shared" si="9"/>
        <v>0.19268171422889532</v>
      </c>
      <c r="X4" s="41">
        <f t="shared" si="10"/>
        <v>2</v>
      </c>
      <c r="Y4" s="15">
        <v>30.716000000000001</v>
      </c>
      <c r="Z4" s="39">
        <v>5.35</v>
      </c>
      <c r="AA4" s="40">
        <f t="shared" si="11"/>
        <v>0.17417632504232319</v>
      </c>
      <c r="AB4" s="41">
        <f t="shared" si="12"/>
        <v>3</v>
      </c>
      <c r="AC4" s="57">
        <f t="shared" si="13"/>
        <v>2.7142857142857144</v>
      </c>
      <c r="AD4" s="86">
        <f t="shared" si="14"/>
        <v>3</v>
      </c>
      <c r="AE4" s="58">
        <v>2</v>
      </c>
      <c r="AF4" s="59">
        <f t="shared" si="15"/>
        <v>6</v>
      </c>
      <c r="AG4" s="60">
        <f t="shared" si="16"/>
        <v>3</v>
      </c>
      <c r="AH4" s="64">
        <v>3</v>
      </c>
      <c r="AI4" s="23">
        <v>1</v>
      </c>
      <c r="AJ4" s="48">
        <v>6</v>
      </c>
      <c r="AK4" s="23">
        <f t="shared" si="17"/>
        <v>6</v>
      </c>
      <c r="AL4" s="96">
        <f t="shared" si="18"/>
        <v>2</v>
      </c>
    </row>
    <row r="5" spans="1:38" ht="15" x14ac:dyDescent="0.2">
      <c r="A5" s="34">
        <v>4</v>
      </c>
      <c r="B5" s="47" t="s">
        <v>42</v>
      </c>
      <c r="C5" s="15">
        <v>2072.1999999999998</v>
      </c>
      <c r="D5" s="39">
        <v>913.41800000000001</v>
      </c>
      <c r="E5" s="39">
        <v>870.41700000000003</v>
      </c>
      <c r="F5" s="39">
        <v>5.0350000000000001</v>
      </c>
      <c r="G5" s="39">
        <v>62</v>
      </c>
      <c r="H5" s="40">
        <f t="shared" si="0"/>
        <v>0.42004487983785355</v>
      </c>
      <c r="I5" s="41">
        <f t="shared" si="1"/>
        <v>4</v>
      </c>
      <c r="J5" s="15">
        <v>47.435000000000002</v>
      </c>
      <c r="K5" s="40">
        <f t="shared" si="2"/>
        <v>5.4496867593348937E-2</v>
      </c>
      <c r="L5" s="41">
        <f t="shared" si="3"/>
        <v>2</v>
      </c>
      <c r="M5" s="15">
        <v>598.63</v>
      </c>
      <c r="N5" s="40">
        <f t="shared" si="4"/>
        <v>0.68775081369044944</v>
      </c>
      <c r="O5" s="53">
        <f t="shared" si="5"/>
        <v>4</v>
      </c>
      <c r="P5" s="15">
        <v>204.10900000000001</v>
      </c>
      <c r="Q5" s="74">
        <f>P5/E5</f>
        <v>0.23449564978625187</v>
      </c>
      <c r="R5" s="41">
        <f t="shared" si="6"/>
        <v>2</v>
      </c>
      <c r="S5" s="15">
        <v>56.530999999999999</v>
      </c>
      <c r="T5" s="40">
        <f t="shared" si="7"/>
        <v>6.4947031135651076E-2</v>
      </c>
      <c r="U5" s="41">
        <f t="shared" si="8"/>
        <v>4</v>
      </c>
      <c r="V5" s="15">
        <f>88.824+M5</f>
        <v>687.45399999999995</v>
      </c>
      <c r="W5" s="40">
        <f t="shared" si="9"/>
        <v>0.78979845292543682</v>
      </c>
      <c r="X5" s="41">
        <f t="shared" si="10"/>
        <v>3</v>
      </c>
      <c r="Y5" s="15">
        <v>819.81700000000001</v>
      </c>
      <c r="Z5" s="39">
        <v>6.2889999999999997</v>
      </c>
      <c r="AA5" s="40">
        <f t="shared" si="11"/>
        <v>7.671224187837041E-3</v>
      </c>
      <c r="AB5" s="41">
        <f t="shared" si="12"/>
        <v>1</v>
      </c>
      <c r="AC5" s="57">
        <f t="shared" si="13"/>
        <v>2.8571428571428572</v>
      </c>
      <c r="AD5" s="86">
        <f t="shared" si="14"/>
        <v>3</v>
      </c>
      <c r="AE5" s="58">
        <v>1</v>
      </c>
      <c r="AF5" s="59">
        <f t="shared" si="15"/>
        <v>3</v>
      </c>
      <c r="AG5" s="60">
        <f t="shared" si="16"/>
        <v>2</v>
      </c>
      <c r="AH5" s="63">
        <v>2</v>
      </c>
      <c r="AI5" s="23">
        <v>1</v>
      </c>
      <c r="AJ5" s="48">
        <v>6</v>
      </c>
      <c r="AK5" s="23">
        <f t="shared" si="17"/>
        <v>6</v>
      </c>
      <c r="AL5" s="96">
        <f t="shared" si="18"/>
        <v>2</v>
      </c>
    </row>
    <row r="6" spans="1:38" ht="15" x14ac:dyDescent="0.2">
      <c r="A6" s="34">
        <v>5</v>
      </c>
      <c r="B6" s="47" t="s">
        <v>43</v>
      </c>
      <c r="C6" s="15">
        <v>8249.25</v>
      </c>
      <c r="D6" s="39">
        <f>4484.424+544.68</f>
        <v>5029.1040000000003</v>
      </c>
      <c r="E6" s="39">
        <f>4107.924+346.657</f>
        <v>4454.5810000000001</v>
      </c>
      <c r="F6" s="39">
        <v>3.2559999999999998</v>
      </c>
      <c r="G6" s="39">
        <v>75</v>
      </c>
      <c r="H6" s="40">
        <f t="shared" si="0"/>
        <v>0.53999830287601902</v>
      </c>
      <c r="I6" s="41">
        <f t="shared" si="1"/>
        <v>4</v>
      </c>
      <c r="J6" s="15">
        <v>242.732</v>
      </c>
      <c r="K6" s="40">
        <f t="shared" si="2"/>
        <v>5.4490422331527927E-2</v>
      </c>
      <c r="L6" s="41">
        <f t="shared" si="3"/>
        <v>2</v>
      </c>
      <c r="M6" s="15">
        <f>2747.98+345.901</f>
        <v>3093.8809999999999</v>
      </c>
      <c r="N6" s="40">
        <f t="shared" si="4"/>
        <v>0.69453917214660588</v>
      </c>
      <c r="O6" s="53">
        <f t="shared" si="5"/>
        <v>4</v>
      </c>
      <c r="P6" s="15">
        <f>930.071+M6+0.756</f>
        <v>4024.7079999999996</v>
      </c>
      <c r="Q6" s="74">
        <f>P6/E6</f>
        <v>0.90349866800042467</v>
      </c>
      <c r="R6" s="41">
        <f t="shared" si="6"/>
        <v>4</v>
      </c>
      <c r="S6" s="15">
        <v>338.99099999999999</v>
      </c>
      <c r="T6" s="40">
        <f t="shared" si="7"/>
        <v>7.6099413165907182E-2</v>
      </c>
      <c r="U6" s="41">
        <f t="shared" si="8"/>
        <v>4</v>
      </c>
      <c r="V6" s="15">
        <f>604.656+M6</f>
        <v>3698.5369999999998</v>
      </c>
      <c r="W6" s="40">
        <f t="shared" si="9"/>
        <v>0.83027719105343456</v>
      </c>
      <c r="X6" s="41">
        <f t="shared" si="10"/>
        <v>4</v>
      </c>
      <c r="Y6" s="15">
        <v>3300.3150000000001</v>
      </c>
      <c r="Z6" s="39">
        <v>314.87799999999999</v>
      </c>
      <c r="AA6" s="40">
        <f t="shared" si="11"/>
        <v>9.5408468585574405E-2</v>
      </c>
      <c r="AB6" s="41">
        <f t="shared" si="12"/>
        <v>2</v>
      </c>
      <c r="AC6" s="57">
        <f t="shared" si="13"/>
        <v>3.4285714285714284</v>
      </c>
      <c r="AD6" s="86">
        <f t="shared" si="14"/>
        <v>3</v>
      </c>
      <c r="AE6" s="58">
        <v>1</v>
      </c>
      <c r="AF6" s="59">
        <f t="shared" si="15"/>
        <v>3</v>
      </c>
      <c r="AG6" s="60">
        <f t="shared" si="16"/>
        <v>2</v>
      </c>
      <c r="AH6" s="63">
        <v>2</v>
      </c>
      <c r="AI6" s="23">
        <v>1</v>
      </c>
      <c r="AJ6" s="48">
        <v>6</v>
      </c>
      <c r="AK6" s="23">
        <f t="shared" si="17"/>
        <v>6</v>
      </c>
      <c r="AL6" s="96">
        <f t="shared" si="18"/>
        <v>2</v>
      </c>
    </row>
    <row r="7" spans="1:38" ht="15" x14ac:dyDescent="0.2">
      <c r="A7" s="34">
        <v>6</v>
      </c>
      <c r="B7" s="47" t="s">
        <v>44</v>
      </c>
      <c r="C7" s="15">
        <v>15254.96</v>
      </c>
      <c r="D7" s="39">
        <v>4533.4790000000003</v>
      </c>
      <c r="E7" s="39">
        <v>4403.652</v>
      </c>
      <c r="F7" s="39">
        <v>39.305999999999997</v>
      </c>
      <c r="G7" s="39">
        <v>70</v>
      </c>
      <c r="H7" s="40">
        <f t="shared" si="0"/>
        <v>0.2886701767818467</v>
      </c>
      <c r="I7" s="41">
        <f t="shared" si="1"/>
        <v>3</v>
      </c>
      <c r="J7" s="15">
        <v>1793.902</v>
      </c>
      <c r="K7" s="40">
        <f t="shared" si="2"/>
        <v>0.4073668854850474</v>
      </c>
      <c r="L7" s="41">
        <f t="shared" si="3"/>
        <v>4</v>
      </c>
      <c r="M7" s="15">
        <v>1620.4559999999999</v>
      </c>
      <c r="N7" s="40">
        <f t="shared" si="4"/>
        <v>0.36798003111962524</v>
      </c>
      <c r="O7" s="53">
        <f t="shared" si="5"/>
        <v>3</v>
      </c>
      <c r="P7" s="15">
        <f>1151.428+M7</f>
        <v>2771.884</v>
      </c>
      <c r="Q7" s="74">
        <f>P7/D7</f>
        <v>0.61142535346474525</v>
      </c>
      <c r="R7" s="41">
        <f t="shared" si="6"/>
        <v>4</v>
      </c>
      <c r="S7" s="15">
        <v>170.72</v>
      </c>
      <c r="T7" s="40">
        <f t="shared" si="7"/>
        <v>3.8767822707153066E-2</v>
      </c>
      <c r="U7" s="41">
        <f t="shared" si="8"/>
        <v>4</v>
      </c>
      <c r="V7" s="15">
        <f>853.031+M7</f>
        <v>2473.4870000000001</v>
      </c>
      <c r="W7" s="40">
        <f t="shared" si="9"/>
        <v>0.56168993371864995</v>
      </c>
      <c r="X7" s="41">
        <f t="shared" si="10"/>
        <v>3</v>
      </c>
      <c r="Y7" s="15">
        <v>2789.2449999999999</v>
      </c>
      <c r="Z7" s="39">
        <v>2023.6759999999999</v>
      </c>
      <c r="AA7" s="40">
        <f t="shared" si="11"/>
        <v>0.7255282343429853</v>
      </c>
      <c r="AB7" s="41">
        <f t="shared" si="12"/>
        <v>4</v>
      </c>
      <c r="AC7" s="57">
        <f t="shared" si="13"/>
        <v>3.5714285714285716</v>
      </c>
      <c r="AD7" s="86">
        <f t="shared" si="14"/>
        <v>4</v>
      </c>
      <c r="AE7" s="58">
        <v>3</v>
      </c>
      <c r="AF7" s="59">
        <f t="shared" si="15"/>
        <v>12</v>
      </c>
      <c r="AG7" s="60">
        <f t="shared" si="16"/>
        <v>4</v>
      </c>
      <c r="AH7" s="65">
        <v>4</v>
      </c>
      <c r="AI7" s="23">
        <v>1</v>
      </c>
      <c r="AJ7" s="48">
        <v>6</v>
      </c>
      <c r="AK7" s="23">
        <f t="shared" si="17"/>
        <v>6</v>
      </c>
      <c r="AL7" s="96">
        <f t="shared" si="18"/>
        <v>2</v>
      </c>
    </row>
    <row r="8" spans="1:38" ht="15" x14ac:dyDescent="0.2">
      <c r="A8" s="34">
        <v>7</v>
      </c>
      <c r="B8" s="47" t="s">
        <v>45</v>
      </c>
      <c r="C8" s="15">
        <v>7544.51</v>
      </c>
      <c r="D8" s="39">
        <f>5458.694+1032.261</f>
        <v>6490.9549999999999</v>
      </c>
      <c r="E8" s="39">
        <f>5363.368+759.835</f>
        <v>6123.2030000000004</v>
      </c>
      <c r="F8" s="39">
        <v>48.709000000000003</v>
      </c>
      <c r="G8" s="39">
        <v>69</v>
      </c>
      <c r="H8" s="40">
        <f t="shared" si="0"/>
        <v>0.81161042930554805</v>
      </c>
      <c r="I8" s="41">
        <f t="shared" si="1"/>
        <v>4</v>
      </c>
      <c r="J8" s="15">
        <v>5.8440000000000003</v>
      </c>
      <c r="K8" s="43">
        <f t="shared" si="2"/>
        <v>9.5440245897449418E-4</v>
      </c>
      <c r="L8" s="41">
        <f t="shared" si="3"/>
        <v>1</v>
      </c>
      <c r="M8" s="15">
        <f>5059.394+759.017</f>
        <v>5818.4110000000001</v>
      </c>
      <c r="N8" s="40">
        <f t="shared" si="4"/>
        <v>0.95022343698224598</v>
      </c>
      <c r="O8" s="53">
        <f t="shared" si="5"/>
        <v>4</v>
      </c>
      <c r="P8" s="15">
        <f>114.593+M8+0.337+0.477+0.004</f>
        <v>5933.8220000000001</v>
      </c>
      <c r="Q8" s="74">
        <f t="shared" ref="Q8:Q13" si="19">P8/E8</f>
        <v>0.96907157904123054</v>
      </c>
      <c r="R8" s="41">
        <f t="shared" si="6"/>
        <v>4</v>
      </c>
      <c r="S8" s="15">
        <v>52.941000000000003</v>
      </c>
      <c r="T8" s="40">
        <f t="shared" si="7"/>
        <v>8.6459651917468686E-3</v>
      </c>
      <c r="U8" s="41">
        <f t="shared" si="8"/>
        <v>4</v>
      </c>
      <c r="V8" s="15">
        <f>M8+114.681+0.004</f>
        <v>5933.0959999999995</v>
      </c>
      <c r="W8" s="40">
        <f t="shared" si="9"/>
        <v>0.96895301364334963</v>
      </c>
      <c r="X8" s="41">
        <f t="shared" si="10"/>
        <v>4</v>
      </c>
      <c r="Y8" s="15">
        <v>5154.2719999999999</v>
      </c>
      <c r="Z8" s="39">
        <v>1830.9960000000001</v>
      </c>
      <c r="AA8" s="40">
        <f t="shared" si="11"/>
        <v>0.35523852835085151</v>
      </c>
      <c r="AB8" s="41">
        <f t="shared" si="12"/>
        <v>4</v>
      </c>
      <c r="AC8" s="57">
        <f t="shared" si="13"/>
        <v>3.5714285714285716</v>
      </c>
      <c r="AD8" s="86">
        <f t="shared" si="14"/>
        <v>4</v>
      </c>
      <c r="AE8" s="58">
        <v>1</v>
      </c>
      <c r="AF8" s="59">
        <f t="shared" si="15"/>
        <v>4</v>
      </c>
      <c r="AG8" s="60">
        <f t="shared" si="16"/>
        <v>2</v>
      </c>
      <c r="AH8" s="63">
        <v>2</v>
      </c>
      <c r="AI8" s="23">
        <v>1</v>
      </c>
      <c r="AJ8" s="48">
        <v>6</v>
      </c>
      <c r="AK8" s="23">
        <f t="shared" si="17"/>
        <v>6</v>
      </c>
      <c r="AL8" s="96">
        <f t="shared" si="18"/>
        <v>2</v>
      </c>
    </row>
    <row r="9" spans="1:38" ht="15" x14ac:dyDescent="0.2">
      <c r="A9" s="34">
        <v>8</v>
      </c>
      <c r="B9" s="47" t="s">
        <v>46</v>
      </c>
      <c r="C9" s="15">
        <v>3799.2</v>
      </c>
      <c r="D9" s="39">
        <f>1226.63+2004.323</f>
        <v>3230.9530000000004</v>
      </c>
      <c r="E9" s="39">
        <f>1202.96+1271.378</f>
        <v>2474.3379999999997</v>
      </c>
      <c r="F9" s="39">
        <v>18.247</v>
      </c>
      <c r="G9" s="39">
        <v>71</v>
      </c>
      <c r="H9" s="40">
        <f t="shared" si="0"/>
        <v>0.65127869025057905</v>
      </c>
      <c r="I9" s="41">
        <f t="shared" si="1"/>
        <v>4</v>
      </c>
      <c r="J9" s="15">
        <f>12.398+0.89</f>
        <v>13.288</v>
      </c>
      <c r="K9" s="40">
        <f t="shared" si="2"/>
        <v>5.3703253152964561E-3</v>
      </c>
      <c r="L9" s="41">
        <f t="shared" si="3"/>
        <v>1</v>
      </c>
      <c r="M9" s="15">
        <f>941.456+1148.167</f>
        <v>2089.623</v>
      </c>
      <c r="N9" s="40">
        <f t="shared" si="4"/>
        <v>0.84451800845317015</v>
      </c>
      <c r="O9" s="53">
        <f t="shared" si="5"/>
        <v>4</v>
      </c>
      <c r="P9" s="15">
        <f>251.334+M9+16.804+25.856+3.004+76.657</f>
        <v>2463.2780000000002</v>
      </c>
      <c r="Q9" s="75">
        <f t="shared" si="19"/>
        <v>0.99553011755063392</v>
      </c>
      <c r="R9" s="41">
        <f t="shared" si="6"/>
        <v>4</v>
      </c>
      <c r="S9" s="15">
        <f>91.405+25.856</f>
        <v>117.261</v>
      </c>
      <c r="T9" s="40">
        <f t="shared" si="7"/>
        <v>4.7390857675871284E-2</v>
      </c>
      <c r="U9" s="41">
        <f t="shared" si="8"/>
        <v>4</v>
      </c>
      <c r="V9" s="15">
        <f>49.884+M9+16.804</f>
        <v>2156.3110000000001</v>
      </c>
      <c r="W9" s="40">
        <f t="shared" si="9"/>
        <v>0.8714698638585352</v>
      </c>
      <c r="X9" s="41">
        <f t="shared" si="10"/>
        <v>4</v>
      </c>
      <c r="Y9" s="15">
        <v>1169.921</v>
      </c>
      <c r="Z9" s="39">
        <v>301.07299999999998</v>
      </c>
      <c r="AA9" s="40">
        <f t="shared" si="11"/>
        <v>0.25734472669522129</v>
      </c>
      <c r="AB9" s="41">
        <f t="shared" si="12"/>
        <v>4</v>
      </c>
      <c r="AC9" s="57">
        <f t="shared" si="13"/>
        <v>3.5714285714285716</v>
      </c>
      <c r="AD9" s="86">
        <f t="shared" si="14"/>
        <v>4</v>
      </c>
      <c r="AE9" s="58">
        <v>2</v>
      </c>
      <c r="AF9" s="59">
        <f t="shared" si="15"/>
        <v>8</v>
      </c>
      <c r="AG9" s="60">
        <f t="shared" si="16"/>
        <v>3</v>
      </c>
      <c r="AH9" s="64">
        <v>3</v>
      </c>
      <c r="AI9" s="23">
        <v>1</v>
      </c>
      <c r="AJ9" s="48">
        <v>6</v>
      </c>
      <c r="AK9" s="23">
        <f t="shared" si="17"/>
        <v>6</v>
      </c>
      <c r="AL9" s="96">
        <f t="shared" si="18"/>
        <v>2</v>
      </c>
    </row>
    <row r="10" spans="1:38" s="5" customFormat="1" ht="15" x14ac:dyDescent="0.2">
      <c r="A10" s="34">
        <v>9</v>
      </c>
      <c r="B10" s="47" t="s">
        <v>47</v>
      </c>
      <c r="C10" s="15">
        <v>13032.67</v>
      </c>
      <c r="D10" s="39">
        <v>3043.2350000000001</v>
      </c>
      <c r="E10" s="39">
        <v>2962.317</v>
      </c>
      <c r="F10" s="39">
        <v>0</v>
      </c>
      <c r="G10" s="39">
        <v>65</v>
      </c>
      <c r="H10" s="40">
        <f t="shared" si="0"/>
        <v>0.22729931779136586</v>
      </c>
      <c r="I10" s="41">
        <f t="shared" si="1"/>
        <v>3</v>
      </c>
      <c r="J10" s="15">
        <v>691.61400000000003</v>
      </c>
      <c r="K10" s="40">
        <f t="shared" si="2"/>
        <v>0.23347062451452699</v>
      </c>
      <c r="L10" s="41">
        <f t="shared" si="3"/>
        <v>3</v>
      </c>
      <c r="M10" s="15">
        <v>1137.4079999999999</v>
      </c>
      <c r="N10" s="40">
        <f t="shared" si="4"/>
        <v>0.38395890784139575</v>
      </c>
      <c r="O10" s="53">
        <f t="shared" si="5"/>
        <v>3</v>
      </c>
      <c r="P10" s="15">
        <f>816.45+M10</f>
        <v>1953.8579999999999</v>
      </c>
      <c r="Q10" s="74">
        <f t="shared" si="19"/>
        <v>0.65957086969422918</v>
      </c>
      <c r="R10" s="41">
        <f t="shared" si="6"/>
        <v>4</v>
      </c>
      <c r="S10" s="15">
        <v>501.49799999999999</v>
      </c>
      <c r="T10" s="40">
        <f t="shared" si="7"/>
        <v>0.16929248287742332</v>
      </c>
      <c r="U10" s="41">
        <f t="shared" si="8"/>
        <v>3</v>
      </c>
      <c r="V10" s="15">
        <f>651.875+M10</f>
        <v>1789.2829999999999</v>
      </c>
      <c r="W10" s="40">
        <f t="shared" si="9"/>
        <v>0.60401469525374896</v>
      </c>
      <c r="X10" s="41">
        <f t="shared" si="10"/>
        <v>3</v>
      </c>
      <c r="Y10" s="15">
        <v>1429.96</v>
      </c>
      <c r="Z10" s="39">
        <v>947.75</v>
      </c>
      <c r="AA10" s="40">
        <f t="shared" si="11"/>
        <v>0.66278077708467364</v>
      </c>
      <c r="AB10" s="41">
        <f t="shared" si="12"/>
        <v>4</v>
      </c>
      <c r="AC10" s="57">
        <f t="shared" si="13"/>
        <v>3.2857142857142856</v>
      </c>
      <c r="AD10" s="86">
        <f t="shared" si="14"/>
        <v>3</v>
      </c>
      <c r="AE10" s="58">
        <v>2</v>
      </c>
      <c r="AF10" s="59">
        <f t="shared" si="15"/>
        <v>6</v>
      </c>
      <c r="AG10" s="60">
        <f t="shared" si="16"/>
        <v>3</v>
      </c>
      <c r="AH10" s="64">
        <v>3</v>
      </c>
      <c r="AI10" s="23">
        <v>1</v>
      </c>
      <c r="AJ10" s="48">
        <v>6</v>
      </c>
      <c r="AK10" s="23">
        <f t="shared" si="17"/>
        <v>6</v>
      </c>
      <c r="AL10" s="96">
        <f t="shared" si="18"/>
        <v>2</v>
      </c>
    </row>
    <row r="11" spans="1:38" ht="15" x14ac:dyDescent="0.2">
      <c r="A11" s="34">
        <v>10</v>
      </c>
      <c r="B11" s="47" t="s">
        <v>48</v>
      </c>
      <c r="C11" s="15">
        <v>10485.299999999999</v>
      </c>
      <c r="D11" s="39">
        <v>1960.377</v>
      </c>
      <c r="E11" s="39">
        <v>1923.1890000000001</v>
      </c>
      <c r="F11" s="39">
        <v>2.9609999999999999</v>
      </c>
      <c r="G11" s="39">
        <v>66</v>
      </c>
      <c r="H11" s="40">
        <f t="shared" si="0"/>
        <v>0.18341764184143516</v>
      </c>
      <c r="I11" s="41">
        <f t="shared" si="1"/>
        <v>2</v>
      </c>
      <c r="J11" s="15">
        <v>703.471</v>
      </c>
      <c r="K11" s="40">
        <f t="shared" si="2"/>
        <v>0.36578360213166777</v>
      </c>
      <c r="L11" s="41">
        <f t="shared" si="3"/>
        <v>4</v>
      </c>
      <c r="M11" s="15">
        <v>193.58699999999999</v>
      </c>
      <c r="N11" s="40">
        <f t="shared" si="4"/>
        <v>0.10065937357170823</v>
      </c>
      <c r="O11" s="53">
        <f t="shared" si="5"/>
        <v>2</v>
      </c>
      <c r="P11" s="15">
        <f>310.744+M11</f>
        <v>504.33100000000002</v>
      </c>
      <c r="Q11" s="74">
        <f t="shared" si="19"/>
        <v>0.26223683683714916</v>
      </c>
      <c r="R11" s="41">
        <f t="shared" si="6"/>
        <v>2</v>
      </c>
      <c r="S11" s="15">
        <v>817.57600000000002</v>
      </c>
      <c r="T11" s="40">
        <f t="shared" si="7"/>
        <v>0.42511474431270146</v>
      </c>
      <c r="U11" s="41">
        <f t="shared" si="8"/>
        <v>1</v>
      </c>
      <c r="V11" s="15">
        <f>715.49+M11</f>
        <v>909.077</v>
      </c>
      <c r="W11" s="40">
        <f t="shared" si="9"/>
        <v>0.47269249148159642</v>
      </c>
      <c r="X11" s="41">
        <f t="shared" si="10"/>
        <v>2</v>
      </c>
      <c r="Y11" s="15">
        <v>894.13900000000001</v>
      </c>
      <c r="Z11" s="39">
        <v>532.31899999999996</v>
      </c>
      <c r="AA11" s="40">
        <f t="shared" si="11"/>
        <v>0.59534255859547558</v>
      </c>
      <c r="AB11" s="41">
        <f t="shared" si="12"/>
        <v>4</v>
      </c>
      <c r="AC11" s="57">
        <f t="shared" si="13"/>
        <v>2.4285714285714284</v>
      </c>
      <c r="AD11" s="86">
        <f t="shared" si="14"/>
        <v>2</v>
      </c>
      <c r="AE11" s="58">
        <v>3</v>
      </c>
      <c r="AF11" s="59">
        <f t="shared" si="15"/>
        <v>6</v>
      </c>
      <c r="AG11" s="60">
        <f t="shared" si="16"/>
        <v>3</v>
      </c>
      <c r="AH11" s="64">
        <v>3</v>
      </c>
      <c r="AI11" s="23">
        <v>1</v>
      </c>
      <c r="AJ11" s="48">
        <v>6</v>
      </c>
      <c r="AK11" s="23">
        <f t="shared" si="17"/>
        <v>6</v>
      </c>
      <c r="AL11" s="96">
        <f t="shared" si="18"/>
        <v>2</v>
      </c>
    </row>
    <row r="12" spans="1:38" ht="15" x14ac:dyDescent="0.2">
      <c r="A12" s="34">
        <v>11</v>
      </c>
      <c r="B12" s="47" t="s">
        <v>49</v>
      </c>
      <c r="C12" s="15">
        <v>15990.05</v>
      </c>
      <c r="D12" s="39">
        <v>4939.9030000000002</v>
      </c>
      <c r="E12" s="39">
        <v>4867.3379999999997</v>
      </c>
      <c r="F12" s="39">
        <v>8.5060000000000002</v>
      </c>
      <c r="G12" s="39">
        <v>70</v>
      </c>
      <c r="H12" s="40">
        <f t="shared" si="0"/>
        <v>0.3043979224580286</v>
      </c>
      <c r="I12" s="41">
        <f t="shared" si="1"/>
        <v>4</v>
      </c>
      <c r="J12" s="15">
        <v>1854.19</v>
      </c>
      <c r="K12" s="40">
        <f t="shared" si="2"/>
        <v>0.380945395614605</v>
      </c>
      <c r="L12" s="41">
        <f t="shared" si="3"/>
        <v>4</v>
      </c>
      <c r="M12" s="15">
        <v>1603.7940000000001</v>
      </c>
      <c r="N12" s="40">
        <f t="shared" si="4"/>
        <v>0.32950125920985973</v>
      </c>
      <c r="O12" s="53">
        <f t="shared" si="5"/>
        <v>3</v>
      </c>
      <c r="P12" s="56">
        <f>1419.277+M12</f>
        <v>3023.0709999999999</v>
      </c>
      <c r="Q12" s="74">
        <f t="shared" si="19"/>
        <v>0.62109329576043415</v>
      </c>
      <c r="R12" s="41">
        <f t="shared" si="6"/>
        <v>4</v>
      </c>
      <c r="S12" s="15">
        <v>304.80700000000002</v>
      </c>
      <c r="T12" s="40">
        <f t="shared" si="7"/>
        <v>6.2622936808579971E-2</v>
      </c>
      <c r="U12" s="41">
        <f t="shared" si="8"/>
        <v>4</v>
      </c>
      <c r="V12" s="56">
        <v>1098.9010000000001</v>
      </c>
      <c r="W12" s="40">
        <f t="shared" si="9"/>
        <v>0.22577043139391595</v>
      </c>
      <c r="X12" s="41">
        <f t="shared" si="10"/>
        <v>2</v>
      </c>
      <c r="Y12" s="15">
        <v>3590.5189999999998</v>
      </c>
      <c r="Z12" s="39">
        <v>1199.6489999999999</v>
      </c>
      <c r="AA12" s="40">
        <f t="shared" si="11"/>
        <v>0.33411576432265083</v>
      </c>
      <c r="AB12" s="41">
        <f t="shared" si="12"/>
        <v>4</v>
      </c>
      <c r="AC12" s="57">
        <f t="shared" si="13"/>
        <v>3.5714285714285716</v>
      </c>
      <c r="AD12" s="86">
        <f t="shared" si="14"/>
        <v>4</v>
      </c>
      <c r="AE12" s="58">
        <v>3</v>
      </c>
      <c r="AF12" s="59">
        <f t="shared" si="15"/>
        <v>12</v>
      </c>
      <c r="AG12" s="60">
        <f t="shared" si="16"/>
        <v>4</v>
      </c>
      <c r="AH12" s="65">
        <v>4</v>
      </c>
      <c r="AI12" s="23">
        <v>1</v>
      </c>
      <c r="AJ12" s="48">
        <v>6</v>
      </c>
      <c r="AK12" s="23">
        <f t="shared" si="17"/>
        <v>6</v>
      </c>
      <c r="AL12" s="96">
        <f t="shared" si="18"/>
        <v>2</v>
      </c>
    </row>
    <row r="13" spans="1:38" ht="15" x14ac:dyDescent="0.2">
      <c r="A13" s="34">
        <v>12</v>
      </c>
      <c r="B13" s="47" t="s">
        <v>50</v>
      </c>
      <c r="C13" s="15">
        <v>14508.82</v>
      </c>
      <c r="D13" s="39">
        <v>2204.8339999999998</v>
      </c>
      <c r="E13" s="39">
        <v>2136.7280000000001</v>
      </c>
      <c r="F13" s="39">
        <v>2.9550000000000001</v>
      </c>
      <c r="G13" s="39">
        <v>73</v>
      </c>
      <c r="H13" s="40">
        <f t="shared" si="0"/>
        <v>0.14727097034769196</v>
      </c>
      <c r="I13" s="41">
        <f t="shared" si="1"/>
        <v>2</v>
      </c>
      <c r="J13" s="15">
        <v>1229.4069999999999</v>
      </c>
      <c r="K13" s="40">
        <f t="shared" si="2"/>
        <v>0.57536897536794573</v>
      </c>
      <c r="L13" s="41">
        <f t="shared" si="3"/>
        <v>4</v>
      </c>
      <c r="M13" s="15">
        <v>262.37700000000001</v>
      </c>
      <c r="N13" s="40">
        <f t="shared" si="4"/>
        <v>0.1227938230790255</v>
      </c>
      <c r="O13" s="53">
        <f t="shared" si="5"/>
        <v>2</v>
      </c>
      <c r="P13" s="15">
        <f>385.444+M13</f>
        <v>647.82100000000003</v>
      </c>
      <c r="Q13" s="74">
        <f t="shared" si="19"/>
        <v>0.30318365276254161</v>
      </c>
      <c r="R13" s="41">
        <f t="shared" si="6"/>
        <v>3</v>
      </c>
      <c r="S13" s="15">
        <v>318.85599999999999</v>
      </c>
      <c r="T13" s="40">
        <f t="shared" si="7"/>
        <v>0.14922629366021317</v>
      </c>
      <c r="U13" s="41">
        <f t="shared" si="8"/>
        <v>3</v>
      </c>
      <c r="V13" s="15">
        <f>337.539+M13</f>
        <v>599.91599999999994</v>
      </c>
      <c r="W13" s="40">
        <f t="shared" si="9"/>
        <v>0.28076385950855698</v>
      </c>
      <c r="X13" s="41">
        <f t="shared" si="10"/>
        <v>2</v>
      </c>
      <c r="Y13" s="15">
        <v>1095.9649999999999</v>
      </c>
      <c r="Z13" s="39">
        <v>477.05500000000001</v>
      </c>
      <c r="AA13" s="40">
        <f t="shared" si="11"/>
        <v>0.43528306104665754</v>
      </c>
      <c r="AB13" s="41">
        <f t="shared" si="12"/>
        <v>4</v>
      </c>
      <c r="AC13" s="57">
        <f t="shared" si="13"/>
        <v>2.8571428571428572</v>
      </c>
      <c r="AD13" s="86">
        <f t="shared" si="14"/>
        <v>3</v>
      </c>
      <c r="AE13" s="58">
        <v>2</v>
      </c>
      <c r="AF13" s="59">
        <f t="shared" si="15"/>
        <v>6</v>
      </c>
      <c r="AG13" s="60">
        <f t="shared" si="16"/>
        <v>3</v>
      </c>
      <c r="AH13" s="64">
        <v>3</v>
      </c>
      <c r="AI13" s="23">
        <v>1</v>
      </c>
      <c r="AJ13" s="48">
        <v>6</v>
      </c>
      <c r="AK13" s="23">
        <f t="shared" si="17"/>
        <v>6</v>
      </c>
      <c r="AL13" s="96">
        <f t="shared" si="18"/>
        <v>2</v>
      </c>
    </row>
    <row r="14" spans="1:38" ht="15" x14ac:dyDescent="0.2">
      <c r="A14" s="34">
        <v>13</v>
      </c>
      <c r="B14" s="47" t="s">
        <v>51</v>
      </c>
      <c r="C14" s="15">
        <v>4316.6400000000003</v>
      </c>
      <c r="D14" s="39">
        <f>2488.881+507.235</f>
        <v>2996.116</v>
      </c>
      <c r="E14" s="39">
        <f>2455.663+276.902</f>
        <v>2732.5650000000001</v>
      </c>
      <c r="F14" s="39">
        <v>0</v>
      </c>
      <c r="G14" s="39">
        <v>80</v>
      </c>
      <c r="H14" s="40">
        <f t="shared" si="0"/>
        <v>0.63303055154008669</v>
      </c>
      <c r="I14" s="41">
        <f t="shared" si="1"/>
        <v>4</v>
      </c>
      <c r="J14" s="15">
        <v>32.634</v>
      </c>
      <c r="K14" s="40">
        <f t="shared" si="2"/>
        <v>1.1942625335536392E-2</v>
      </c>
      <c r="L14" s="41">
        <f t="shared" si="3"/>
        <v>1</v>
      </c>
      <c r="M14" s="15">
        <f>1780.153+261.677</f>
        <v>2041.83</v>
      </c>
      <c r="N14" s="40">
        <f t="shared" si="4"/>
        <v>0.74722101761531745</v>
      </c>
      <c r="O14" s="53">
        <f t="shared" si="5"/>
        <v>4</v>
      </c>
      <c r="P14" s="15">
        <f>551.75+M14+13.06+0.003+2.162</f>
        <v>2608.8049999999998</v>
      </c>
      <c r="Q14" s="74">
        <f>P14/D14</f>
        <v>0.87072897044039677</v>
      </c>
      <c r="R14" s="41">
        <f t="shared" si="6"/>
        <v>4</v>
      </c>
      <c r="S14" s="15">
        <f>210.954+2.162</f>
        <v>213.11600000000001</v>
      </c>
      <c r="T14" s="40">
        <f t="shared" si="7"/>
        <v>7.7991191426370468E-2</v>
      </c>
      <c r="U14" s="41">
        <f t="shared" si="8"/>
        <v>4</v>
      </c>
      <c r="V14" s="15">
        <f>421.864+M14+13.06</f>
        <v>2476.7539999999999</v>
      </c>
      <c r="W14" s="40">
        <f t="shared" si="9"/>
        <v>0.90638429460964332</v>
      </c>
      <c r="X14" s="41">
        <f t="shared" si="10"/>
        <v>4</v>
      </c>
      <c r="Y14" s="15">
        <v>2341.2510000000002</v>
      </c>
      <c r="Z14" s="39">
        <v>825.94899999999996</v>
      </c>
      <c r="AA14" s="40">
        <f t="shared" si="11"/>
        <v>0.35278105593975184</v>
      </c>
      <c r="AB14" s="41">
        <f t="shared" si="12"/>
        <v>4</v>
      </c>
      <c r="AC14" s="57">
        <f t="shared" si="13"/>
        <v>3.5714285714285716</v>
      </c>
      <c r="AD14" s="86">
        <f t="shared" si="14"/>
        <v>4</v>
      </c>
      <c r="AE14" s="58">
        <v>1</v>
      </c>
      <c r="AF14" s="59">
        <f t="shared" si="15"/>
        <v>4</v>
      </c>
      <c r="AG14" s="60">
        <f t="shared" si="16"/>
        <v>2</v>
      </c>
      <c r="AH14" s="63">
        <v>2</v>
      </c>
      <c r="AI14" s="23">
        <v>1</v>
      </c>
      <c r="AJ14" s="48">
        <v>6</v>
      </c>
      <c r="AK14" s="23">
        <f t="shared" si="17"/>
        <v>6</v>
      </c>
      <c r="AL14" s="96">
        <f t="shared" si="18"/>
        <v>2</v>
      </c>
    </row>
    <row r="15" spans="1:38" ht="15" x14ac:dyDescent="0.2">
      <c r="A15" s="34">
        <v>14</v>
      </c>
      <c r="B15" s="47" t="s">
        <v>52</v>
      </c>
      <c r="C15" s="15">
        <v>9427.44</v>
      </c>
      <c r="D15" s="39">
        <v>2722.3919999999998</v>
      </c>
      <c r="E15" s="39">
        <v>2667.7190000000001</v>
      </c>
      <c r="F15" s="39">
        <v>15.359</v>
      </c>
      <c r="G15" s="39">
        <v>67</v>
      </c>
      <c r="H15" s="40">
        <f t="shared" si="0"/>
        <v>0.28297385080149012</v>
      </c>
      <c r="I15" s="41">
        <f t="shared" si="1"/>
        <v>3</v>
      </c>
      <c r="J15" s="15">
        <v>641.01900000000001</v>
      </c>
      <c r="K15" s="40">
        <f t="shared" si="2"/>
        <v>0.24028730162359679</v>
      </c>
      <c r="L15" s="41">
        <f t="shared" si="3"/>
        <v>3</v>
      </c>
      <c r="M15" s="15">
        <v>1279.624</v>
      </c>
      <c r="N15" s="40">
        <f t="shared" si="4"/>
        <v>0.47966971034055683</v>
      </c>
      <c r="O15" s="53">
        <f t="shared" si="5"/>
        <v>4</v>
      </c>
      <c r="P15" s="15">
        <f>898.871+M15</f>
        <v>2178.4949999999999</v>
      </c>
      <c r="Q15" s="74">
        <f>P15/E15</f>
        <v>0.81661336894927838</v>
      </c>
      <c r="R15" s="41">
        <f t="shared" si="6"/>
        <v>4</v>
      </c>
      <c r="S15" s="15">
        <v>203.19800000000001</v>
      </c>
      <c r="T15" s="40">
        <f t="shared" si="7"/>
        <v>7.6169191732712485E-2</v>
      </c>
      <c r="U15" s="41">
        <f t="shared" si="8"/>
        <v>4</v>
      </c>
      <c r="V15" s="15">
        <f>523.194+M15</f>
        <v>1802.818</v>
      </c>
      <c r="W15" s="40">
        <f t="shared" si="9"/>
        <v>0.67579006634506855</v>
      </c>
      <c r="X15" s="41">
        <f t="shared" si="10"/>
        <v>3</v>
      </c>
      <c r="Y15" s="15">
        <v>1460.7170000000001</v>
      </c>
      <c r="Z15" s="39">
        <v>500.77499999999998</v>
      </c>
      <c r="AA15" s="40">
        <f t="shared" si="11"/>
        <v>0.34282821381554396</v>
      </c>
      <c r="AB15" s="41">
        <f t="shared" si="12"/>
        <v>4</v>
      </c>
      <c r="AC15" s="57">
        <f t="shared" si="13"/>
        <v>3.5714285714285716</v>
      </c>
      <c r="AD15" s="86">
        <f t="shared" si="14"/>
        <v>4</v>
      </c>
      <c r="AE15" s="58">
        <v>2</v>
      </c>
      <c r="AF15" s="59">
        <f t="shared" si="15"/>
        <v>8</v>
      </c>
      <c r="AG15" s="60">
        <f t="shared" si="16"/>
        <v>3</v>
      </c>
      <c r="AH15" s="64">
        <v>3</v>
      </c>
      <c r="AI15" s="23">
        <v>1</v>
      </c>
      <c r="AJ15" s="48">
        <v>6</v>
      </c>
      <c r="AK15" s="23">
        <f t="shared" si="17"/>
        <v>6</v>
      </c>
      <c r="AL15" s="96">
        <f t="shared" si="18"/>
        <v>2</v>
      </c>
    </row>
    <row r="16" spans="1:38" ht="15" x14ac:dyDescent="0.2">
      <c r="A16" s="34">
        <v>15</v>
      </c>
      <c r="B16" s="47" t="s">
        <v>53</v>
      </c>
      <c r="C16" s="15">
        <v>4712.68</v>
      </c>
      <c r="D16" s="39">
        <v>997.83699999999999</v>
      </c>
      <c r="E16" s="39">
        <v>937.44</v>
      </c>
      <c r="F16" s="39">
        <v>5.3680000000000003</v>
      </c>
      <c r="G16" s="39">
        <v>73</v>
      </c>
      <c r="H16" s="40">
        <f t="shared" si="0"/>
        <v>0.19891866199275146</v>
      </c>
      <c r="I16" s="41">
        <f t="shared" si="1"/>
        <v>2</v>
      </c>
      <c r="J16" s="15">
        <v>311.97500000000002</v>
      </c>
      <c r="K16" s="40">
        <f t="shared" si="2"/>
        <v>0.33279463218979349</v>
      </c>
      <c r="L16" s="41">
        <f t="shared" si="3"/>
        <v>4</v>
      </c>
      <c r="M16" s="15">
        <v>253.91300000000001</v>
      </c>
      <c r="N16" s="40">
        <f t="shared" si="4"/>
        <v>0.2708578682369005</v>
      </c>
      <c r="O16" s="53">
        <f t="shared" si="5"/>
        <v>3</v>
      </c>
      <c r="P16" s="15">
        <f>246.989+M16</f>
        <v>500.90200000000004</v>
      </c>
      <c r="Q16" s="74">
        <f>P16/D16</f>
        <v>0.50198779961055773</v>
      </c>
      <c r="R16" s="41">
        <f t="shared" si="6"/>
        <v>4</v>
      </c>
      <c r="S16" s="15">
        <v>194.77</v>
      </c>
      <c r="T16" s="40">
        <f t="shared" si="7"/>
        <v>0.2077679638163509</v>
      </c>
      <c r="U16" s="41">
        <f t="shared" si="8"/>
        <v>2</v>
      </c>
      <c r="V16" s="15">
        <f>194.904+M16</f>
        <v>448.81700000000001</v>
      </c>
      <c r="W16" s="40">
        <f t="shared" si="9"/>
        <v>0.47876877453490357</v>
      </c>
      <c r="X16" s="41">
        <f t="shared" si="10"/>
        <v>2</v>
      </c>
      <c r="Y16" s="15">
        <v>491.40499999999997</v>
      </c>
      <c r="Z16" s="39">
        <v>53.585000000000001</v>
      </c>
      <c r="AA16" s="40">
        <f t="shared" si="11"/>
        <v>0.10904447451694632</v>
      </c>
      <c r="AB16" s="41">
        <f t="shared" si="12"/>
        <v>2</v>
      </c>
      <c r="AC16" s="57">
        <f t="shared" si="13"/>
        <v>2.7142857142857144</v>
      </c>
      <c r="AD16" s="86">
        <f t="shared" si="14"/>
        <v>3</v>
      </c>
      <c r="AE16" s="58">
        <v>2</v>
      </c>
      <c r="AF16" s="59">
        <f t="shared" si="15"/>
        <v>6</v>
      </c>
      <c r="AG16" s="60">
        <f t="shared" si="16"/>
        <v>3</v>
      </c>
      <c r="AH16" s="64">
        <v>3</v>
      </c>
      <c r="AI16" s="23">
        <v>1</v>
      </c>
      <c r="AJ16" s="48">
        <v>6</v>
      </c>
      <c r="AK16" s="23">
        <f t="shared" si="17"/>
        <v>6</v>
      </c>
      <c r="AL16" s="96">
        <f t="shared" si="18"/>
        <v>2</v>
      </c>
    </row>
    <row r="17" spans="1:38" ht="15" x14ac:dyDescent="0.2">
      <c r="A17" s="34">
        <v>16</v>
      </c>
      <c r="B17" s="47" t="s">
        <v>54</v>
      </c>
      <c r="C17" s="15">
        <v>18653.759999999998</v>
      </c>
      <c r="D17" s="39">
        <v>10650.651</v>
      </c>
      <c r="E17" s="39">
        <v>10344.918</v>
      </c>
      <c r="F17" s="39">
        <v>0</v>
      </c>
      <c r="G17" s="39">
        <v>56</v>
      </c>
      <c r="H17" s="40">
        <f t="shared" si="0"/>
        <v>0.55457548504966292</v>
      </c>
      <c r="I17" s="41">
        <f t="shared" si="1"/>
        <v>4</v>
      </c>
      <c r="J17" s="15">
        <v>201.32300000000001</v>
      </c>
      <c r="K17" s="40">
        <f t="shared" si="2"/>
        <v>1.9461053243727985E-2</v>
      </c>
      <c r="L17" s="41">
        <f t="shared" si="3"/>
        <v>1</v>
      </c>
      <c r="M17" s="15">
        <v>8396.1200000000008</v>
      </c>
      <c r="N17" s="40">
        <f t="shared" si="4"/>
        <v>0.81161783979341362</v>
      </c>
      <c r="O17" s="53">
        <f t="shared" si="5"/>
        <v>4</v>
      </c>
      <c r="P17" s="15">
        <f>1384.065+M17</f>
        <v>9780.1850000000013</v>
      </c>
      <c r="Q17" s="74">
        <f t="shared" ref="Q17:Q24" si="20">P17/E17</f>
        <v>0.94540962045325072</v>
      </c>
      <c r="R17" s="41">
        <f t="shared" si="6"/>
        <v>4</v>
      </c>
      <c r="S17" s="15">
        <v>811.87400000000002</v>
      </c>
      <c r="T17" s="40">
        <f t="shared" si="7"/>
        <v>7.8480467414048141E-2</v>
      </c>
      <c r="U17" s="41">
        <f t="shared" si="8"/>
        <v>4</v>
      </c>
      <c r="V17" s="15">
        <f>349.545+M17</f>
        <v>8745.6650000000009</v>
      </c>
      <c r="W17" s="40">
        <f t="shared" si="9"/>
        <v>0.84540689447707573</v>
      </c>
      <c r="X17" s="41">
        <f t="shared" si="10"/>
        <v>4</v>
      </c>
      <c r="Y17" s="15">
        <v>9652.125</v>
      </c>
      <c r="Z17" s="39">
        <v>1955.4159999999999</v>
      </c>
      <c r="AA17" s="40">
        <f t="shared" si="11"/>
        <v>0.20258917077845551</v>
      </c>
      <c r="AB17" s="41">
        <f t="shared" si="12"/>
        <v>3</v>
      </c>
      <c r="AC17" s="57">
        <f t="shared" si="13"/>
        <v>3.4285714285714284</v>
      </c>
      <c r="AD17" s="86">
        <f t="shared" si="14"/>
        <v>3</v>
      </c>
      <c r="AE17" s="58">
        <v>1</v>
      </c>
      <c r="AF17" s="59">
        <f t="shared" si="15"/>
        <v>3</v>
      </c>
      <c r="AG17" s="60">
        <f t="shared" si="16"/>
        <v>2</v>
      </c>
      <c r="AH17" s="63">
        <v>2</v>
      </c>
      <c r="AI17" s="23">
        <v>1</v>
      </c>
      <c r="AJ17" s="48">
        <v>6</v>
      </c>
      <c r="AK17" s="23">
        <f t="shared" si="17"/>
        <v>6</v>
      </c>
      <c r="AL17" s="96">
        <f t="shared" si="18"/>
        <v>2</v>
      </c>
    </row>
    <row r="18" spans="1:38" ht="15" x14ac:dyDescent="0.2">
      <c r="A18" s="34">
        <v>17</v>
      </c>
      <c r="B18" s="47" t="s">
        <v>55</v>
      </c>
      <c r="C18" s="15">
        <v>10455.64</v>
      </c>
      <c r="D18" s="39">
        <v>2571.8090000000002</v>
      </c>
      <c r="E18" s="39">
        <v>2501.6559999999999</v>
      </c>
      <c r="F18" s="39">
        <v>5.4290000000000003</v>
      </c>
      <c r="G18" s="39">
        <v>71</v>
      </c>
      <c r="H18" s="40">
        <f t="shared" si="0"/>
        <v>0.23926378490460651</v>
      </c>
      <c r="I18" s="41">
        <f t="shared" si="1"/>
        <v>3</v>
      </c>
      <c r="J18" s="15">
        <v>444.25</v>
      </c>
      <c r="K18" s="40">
        <f t="shared" si="2"/>
        <v>0.17758236943848396</v>
      </c>
      <c r="L18" s="41">
        <f t="shared" si="3"/>
        <v>3</v>
      </c>
      <c r="M18" s="15">
        <v>1181.454</v>
      </c>
      <c r="N18" s="40">
        <f t="shared" si="4"/>
        <v>0.47226876916730359</v>
      </c>
      <c r="O18" s="53">
        <f t="shared" si="5"/>
        <v>4</v>
      </c>
      <c r="P18" s="15">
        <f>608.48+M18</f>
        <v>1789.934</v>
      </c>
      <c r="Q18" s="74">
        <f t="shared" si="20"/>
        <v>0.71549965302983309</v>
      </c>
      <c r="R18" s="41">
        <f t="shared" si="6"/>
        <v>4</v>
      </c>
      <c r="S18" s="15">
        <v>493.86900000000003</v>
      </c>
      <c r="T18" s="40">
        <f t="shared" si="7"/>
        <v>0.19741683109108529</v>
      </c>
      <c r="U18" s="41">
        <f t="shared" si="8"/>
        <v>3</v>
      </c>
      <c r="V18" s="15">
        <f>M18+527.451</f>
        <v>1708.905</v>
      </c>
      <c r="W18" s="40">
        <f t="shared" si="9"/>
        <v>0.68310950826172745</v>
      </c>
      <c r="X18" s="41">
        <f t="shared" si="10"/>
        <v>3</v>
      </c>
      <c r="Y18" s="15">
        <v>1725.251</v>
      </c>
      <c r="Z18" s="39">
        <v>27.994</v>
      </c>
      <c r="AA18" s="40">
        <f t="shared" si="11"/>
        <v>1.622604479000447E-2</v>
      </c>
      <c r="AB18" s="41">
        <f t="shared" si="12"/>
        <v>1</v>
      </c>
      <c r="AC18" s="57">
        <f t="shared" si="13"/>
        <v>3</v>
      </c>
      <c r="AD18" s="86">
        <f t="shared" si="14"/>
        <v>3</v>
      </c>
      <c r="AE18" s="58">
        <v>2</v>
      </c>
      <c r="AF18" s="59">
        <f t="shared" si="15"/>
        <v>6</v>
      </c>
      <c r="AG18" s="60">
        <f t="shared" si="16"/>
        <v>3</v>
      </c>
      <c r="AH18" s="64">
        <v>3</v>
      </c>
      <c r="AI18" s="23">
        <v>1</v>
      </c>
      <c r="AJ18" s="48">
        <v>6</v>
      </c>
      <c r="AK18" s="23">
        <f t="shared" si="17"/>
        <v>6</v>
      </c>
      <c r="AL18" s="96">
        <f t="shared" si="18"/>
        <v>2</v>
      </c>
    </row>
    <row r="19" spans="1:38" ht="15" x14ac:dyDescent="0.2">
      <c r="A19" s="34">
        <v>18</v>
      </c>
      <c r="B19" s="47" t="s">
        <v>56</v>
      </c>
      <c r="C19" s="15">
        <v>6666.25</v>
      </c>
      <c r="D19" s="39">
        <v>1637.2809999999999</v>
      </c>
      <c r="E19" s="39">
        <v>1613.3489999999999</v>
      </c>
      <c r="F19" s="39">
        <v>0</v>
      </c>
      <c r="G19" s="39">
        <v>67</v>
      </c>
      <c r="H19" s="40">
        <f t="shared" si="0"/>
        <v>0.24201747609225577</v>
      </c>
      <c r="I19" s="41">
        <f t="shared" si="1"/>
        <v>3</v>
      </c>
      <c r="J19" s="15">
        <v>214.142</v>
      </c>
      <c r="K19" s="40">
        <f t="shared" si="2"/>
        <v>0.13273135570790945</v>
      </c>
      <c r="L19" s="41">
        <f t="shared" si="3"/>
        <v>2</v>
      </c>
      <c r="M19" s="15">
        <v>709.11699999999996</v>
      </c>
      <c r="N19" s="40">
        <f t="shared" si="4"/>
        <v>0.43953106240497253</v>
      </c>
      <c r="O19" s="53">
        <f t="shared" si="5"/>
        <v>4</v>
      </c>
      <c r="P19" s="15">
        <f>M19+509.911</f>
        <v>1219.028</v>
      </c>
      <c r="Q19" s="74">
        <f t="shared" si="20"/>
        <v>0.75558853044195651</v>
      </c>
      <c r="R19" s="41">
        <f t="shared" si="6"/>
        <v>4</v>
      </c>
      <c r="S19" s="15">
        <v>278.57</v>
      </c>
      <c r="T19" s="40">
        <f t="shared" si="7"/>
        <v>0.17266567865973204</v>
      </c>
      <c r="U19" s="41">
        <f t="shared" si="8"/>
        <v>3</v>
      </c>
      <c r="V19" s="15">
        <f>382.857+M19</f>
        <v>1091.9739999999999</v>
      </c>
      <c r="W19" s="40">
        <f t="shared" si="9"/>
        <v>0.67683681584083788</v>
      </c>
      <c r="X19" s="41">
        <f t="shared" si="10"/>
        <v>3</v>
      </c>
      <c r="Y19" s="15">
        <v>1032.5530000000001</v>
      </c>
      <c r="Z19" s="39">
        <v>125.41800000000001</v>
      </c>
      <c r="AA19" s="40">
        <f t="shared" si="11"/>
        <v>0.12146398296261789</v>
      </c>
      <c r="AB19" s="41">
        <f t="shared" si="12"/>
        <v>2</v>
      </c>
      <c r="AC19" s="57">
        <f t="shared" si="13"/>
        <v>3</v>
      </c>
      <c r="AD19" s="86">
        <f t="shared" si="14"/>
        <v>3</v>
      </c>
      <c r="AE19" s="58">
        <v>2</v>
      </c>
      <c r="AF19" s="59">
        <f t="shared" si="15"/>
        <v>6</v>
      </c>
      <c r="AG19" s="60">
        <f t="shared" si="16"/>
        <v>3</v>
      </c>
      <c r="AH19" s="64">
        <v>3</v>
      </c>
      <c r="AI19" s="23">
        <v>1</v>
      </c>
      <c r="AJ19" s="48">
        <v>6</v>
      </c>
      <c r="AK19" s="23">
        <f t="shared" si="17"/>
        <v>6</v>
      </c>
      <c r="AL19" s="96">
        <f t="shared" si="18"/>
        <v>2</v>
      </c>
    </row>
    <row r="20" spans="1:38" ht="13.5" customHeight="1" x14ac:dyDescent="0.2">
      <c r="A20" s="34">
        <v>19</v>
      </c>
      <c r="B20" s="47" t="s">
        <v>57</v>
      </c>
      <c r="C20" s="15">
        <v>12234.14</v>
      </c>
      <c r="D20" s="39">
        <v>1151.0070000000001</v>
      </c>
      <c r="E20" s="39">
        <v>1054.9580000000001</v>
      </c>
      <c r="F20" s="39">
        <v>21.718</v>
      </c>
      <c r="G20" s="50">
        <v>70</v>
      </c>
      <c r="H20" s="40">
        <f t="shared" si="0"/>
        <v>8.6230662719243054E-2</v>
      </c>
      <c r="I20" s="41">
        <f t="shared" si="1"/>
        <v>1</v>
      </c>
      <c r="J20" s="15">
        <v>461.91899999999998</v>
      </c>
      <c r="K20" s="40">
        <f t="shared" si="2"/>
        <v>0.43785534590002628</v>
      </c>
      <c r="L20" s="41">
        <f t="shared" si="3"/>
        <v>4</v>
      </c>
      <c r="M20" s="15">
        <v>18.145</v>
      </c>
      <c r="N20" s="40">
        <f t="shared" si="4"/>
        <v>1.7199736861562259E-2</v>
      </c>
      <c r="O20" s="53">
        <f t="shared" si="5"/>
        <v>1</v>
      </c>
      <c r="P20" s="15">
        <f>233.594+M20</f>
        <v>251.739</v>
      </c>
      <c r="Q20" s="74">
        <f t="shared" si="20"/>
        <v>0.23862466562649887</v>
      </c>
      <c r="R20" s="41">
        <f t="shared" si="6"/>
        <v>2</v>
      </c>
      <c r="S20" s="15">
        <v>261.75400000000002</v>
      </c>
      <c r="T20" s="40">
        <f t="shared" si="7"/>
        <v>0.24811793455284475</v>
      </c>
      <c r="U20" s="41">
        <f t="shared" si="8"/>
        <v>2</v>
      </c>
      <c r="V20" s="15">
        <f>305.775+M20</f>
        <v>323.91999999999996</v>
      </c>
      <c r="W20" s="40">
        <f t="shared" si="9"/>
        <v>0.30704539896375016</v>
      </c>
      <c r="X20" s="41">
        <f t="shared" si="10"/>
        <v>2</v>
      </c>
      <c r="Y20" s="15">
        <v>490.83600000000001</v>
      </c>
      <c r="Z20" s="39">
        <v>175.952</v>
      </c>
      <c r="AA20" s="40">
        <f t="shared" si="11"/>
        <v>0.35847411355320308</v>
      </c>
      <c r="AB20" s="41">
        <f t="shared" si="12"/>
        <v>4</v>
      </c>
      <c r="AC20" s="57">
        <f t="shared" si="13"/>
        <v>2.2857142857142856</v>
      </c>
      <c r="AD20" s="86">
        <f t="shared" si="14"/>
        <v>2</v>
      </c>
      <c r="AE20" s="58">
        <v>3</v>
      </c>
      <c r="AF20" s="59">
        <f t="shared" si="15"/>
        <v>6</v>
      </c>
      <c r="AG20" s="60">
        <f t="shared" si="16"/>
        <v>3</v>
      </c>
      <c r="AH20" s="64">
        <v>3</v>
      </c>
      <c r="AI20" s="23">
        <v>1</v>
      </c>
      <c r="AJ20" s="48">
        <v>6</v>
      </c>
      <c r="AK20" s="23">
        <f t="shared" si="17"/>
        <v>6</v>
      </c>
      <c r="AL20" s="96">
        <f t="shared" si="18"/>
        <v>2</v>
      </c>
    </row>
    <row r="21" spans="1:38" ht="15" x14ac:dyDescent="0.2">
      <c r="A21" s="34">
        <v>20</v>
      </c>
      <c r="B21" s="47" t="s">
        <v>58</v>
      </c>
      <c r="C21" s="15">
        <v>5787.57</v>
      </c>
      <c r="D21" s="39">
        <v>2341.5990000000002</v>
      </c>
      <c r="E21" s="39">
        <v>2308.527</v>
      </c>
      <c r="F21" s="39">
        <v>12.855</v>
      </c>
      <c r="G21" s="39">
        <v>72</v>
      </c>
      <c r="H21" s="40">
        <f t="shared" si="0"/>
        <v>0.39887673064861423</v>
      </c>
      <c r="I21" s="41">
        <f t="shared" si="1"/>
        <v>4</v>
      </c>
      <c r="J21" s="15">
        <v>257.68400000000003</v>
      </c>
      <c r="K21" s="40">
        <f t="shared" si="2"/>
        <v>0.11162269273870308</v>
      </c>
      <c r="L21" s="41">
        <f t="shared" si="3"/>
        <v>2</v>
      </c>
      <c r="M21" s="15">
        <v>1525.846</v>
      </c>
      <c r="N21" s="40">
        <f t="shared" si="4"/>
        <v>0.66096086378890084</v>
      </c>
      <c r="O21" s="53">
        <f t="shared" si="5"/>
        <v>4</v>
      </c>
      <c r="P21" s="15">
        <f>552.653+M21</f>
        <v>2078.4989999999998</v>
      </c>
      <c r="Q21" s="74">
        <f t="shared" si="20"/>
        <v>0.90035724078600765</v>
      </c>
      <c r="R21" s="41">
        <f t="shared" si="6"/>
        <v>4</v>
      </c>
      <c r="S21" s="15">
        <v>97.253</v>
      </c>
      <c r="T21" s="40">
        <f t="shared" si="7"/>
        <v>4.2127729067063108E-2</v>
      </c>
      <c r="U21" s="41">
        <f t="shared" si="8"/>
        <v>4</v>
      </c>
      <c r="V21" s="15">
        <f>378.926+M21</f>
        <v>1904.7719999999999</v>
      </c>
      <c r="W21" s="40">
        <f t="shared" si="9"/>
        <v>0.82510276033158803</v>
      </c>
      <c r="X21" s="41">
        <f t="shared" si="10"/>
        <v>4</v>
      </c>
      <c r="Y21" s="15">
        <v>1890.0609999999999</v>
      </c>
      <c r="Z21" s="39">
        <v>507.31599999999997</v>
      </c>
      <c r="AA21" s="40">
        <f t="shared" si="11"/>
        <v>0.26841250097219083</v>
      </c>
      <c r="AB21" s="41">
        <f t="shared" si="12"/>
        <v>4</v>
      </c>
      <c r="AC21" s="57">
        <f t="shared" si="13"/>
        <v>3.7142857142857144</v>
      </c>
      <c r="AD21" s="86">
        <f t="shared" si="14"/>
        <v>4</v>
      </c>
      <c r="AE21" s="58">
        <v>2</v>
      </c>
      <c r="AF21" s="59">
        <f t="shared" si="15"/>
        <v>8</v>
      </c>
      <c r="AG21" s="60">
        <f t="shared" si="16"/>
        <v>3</v>
      </c>
      <c r="AH21" s="64">
        <v>3</v>
      </c>
      <c r="AI21" s="23">
        <v>1</v>
      </c>
      <c r="AJ21" s="48">
        <v>6</v>
      </c>
      <c r="AK21" s="23">
        <f t="shared" si="17"/>
        <v>6</v>
      </c>
      <c r="AL21" s="96">
        <f t="shared" si="18"/>
        <v>2</v>
      </c>
    </row>
    <row r="22" spans="1:38" ht="15" x14ac:dyDescent="0.2">
      <c r="A22" s="34">
        <v>21</v>
      </c>
      <c r="B22" s="47" t="s">
        <v>59</v>
      </c>
      <c r="C22" s="15">
        <v>11054.75</v>
      </c>
      <c r="D22" s="39">
        <v>4153.817</v>
      </c>
      <c r="E22" s="39">
        <v>4060.7379999999998</v>
      </c>
      <c r="F22" s="39">
        <v>0</v>
      </c>
      <c r="G22" s="39">
        <v>72</v>
      </c>
      <c r="H22" s="40">
        <f t="shared" si="0"/>
        <v>0.36732969990275671</v>
      </c>
      <c r="I22" s="41">
        <f t="shared" si="1"/>
        <v>4</v>
      </c>
      <c r="J22" s="15">
        <v>228.774</v>
      </c>
      <c r="K22" s="40">
        <f t="shared" si="2"/>
        <v>5.6338035105933951E-2</v>
      </c>
      <c r="L22" s="41">
        <f t="shared" si="3"/>
        <v>2</v>
      </c>
      <c r="M22" s="15">
        <v>3007.3589999999999</v>
      </c>
      <c r="N22" s="40">
        <f t="shared" si="4"/>
        <v>0.74059419740943644</v>
      </c>
      <c r="O22" s="53">
        <f t="shared" si="5"/>
        <v>4</v>
      </c>
      <c r="P22" s="15">
        <f>709.604+M22</f>
        <v>3716.9629999999997</v>
      </c>
      <c r="Q22" s="74">
        <f t="shared" si="20"/>
        <v>0.91534174329887819</v>
      </c>
      <c r="R22" s="41">
        <f t="shared" si="6"/>
        <v>4</v>
      </c>
      <c r="S22" s="15">
        <v>474.447</v>
      </c>
      <c r="T22" s="40">
        <f t="shared" si="7"/>
        <v>0.11683762902211373</v>
      </c>
      <c r="U22" s="41">
        <f t="shared" si="8"/>
        <v>3</v>
      </c>
      <c r="V22" s="15">
        <f>M22+214.878</f>
        <v>3222.2370000000001</v>
      </c>
      <c r="W22" s="40">
        <f t="shared" si="9"/>
        <v>0.7935101944523385</v>
      </c>
      <c r="X22" s="41">
        <f t="shared" si="10"/>
        <v>3</v>
      </c>
      <c r="Y22" s="15">
        <v>3660.2280000000001</v>
      </c>
      <c r="Z22" s="39">
        <v>659.01300000000003</v>
      </c>
      <c r="AA22" s="40">
        <f t="shared" si="11"/>
        <v>0.18004698067989208</v>
      </c>
      <c r="AB22" s="41">
        <f t="shared" si="12"/>
        <v>3</v>
      </c>
      <c r="AC22" s="57">
        <f t="shared" si="13"/>
        <v>3.2857142857142856</v>
      </c>
      <c r="AD22" s="86">
        <f t="shared" si="14"/>
        <v>3</v>
      </c>
      <c r="AE22" s="58">
        <v>1</v>
      </c>
      <c r="AF22" s="59">
        <f t="shared" si="15"/>
        <v>3</v>
      </c>
      <c r="AG22" s="60">
        <f t="shared" si="16"/>
        <v>2</v>
      </c>
      <c r="AH22" s="63">
        <v>2</v>
      </c>
      <c r="AI22" s="23">
        <v>1</v>
      </c>
      <c r="AJ22" s="48">
        <v>6</v>
      </c>
      <c r="AK22" s="23">
        <f t="shared" si="17"/>
        <v>6</v>
      </c>
      <c r="AL22" s="96">
        <f t="shared" si="18"/>
        <v>2</v>
      </c>
    </row>
    <row r="23" spans="1:38" ht="15" x14ac:dyDescent="0.2">
      <c r="A23" s="34">
        <v>22</v>
      </c>
      <c r="B23" s="47" t="s">
        <v>60</v>
      </c>
      <c r="C23" s="15">
        <v>10929.79</v>
      </c>
      <c r="D23" s="39">
        <f>1984.319+357.178+1342.102</f>
        <v>3683.5990000000002</v>
      </c>
      <c r="E23" s="39">
        <f>1935.564+357.178+1217.851</f>
        <v>3510.5930000000003</v>
      </c>
      <c r="F23" s="39">
        <v>432.149</v>
      </c>
      <c r="G23" s="39">
        <v>71</v>
      </c>
      <c r="H23" s="40">
        <f t="shared" si="0"/>
        <v>0.32119491774315884</v>
      </c>
      <c r="I23" s="41">
        <f t="shared" si="1"/>
        <v>4</v>
      </c>
      <c r="J23" s="15">
        <f>220.846+0.002</f>
        <v>220.84800000000001</v>
      </c>
      <c r="K23" s="40">
        <f t="shared" si="2"/>
        <v>6.2909029898937305E-2</v>
      </c>
      <c r="L23" s="41">
        <f t="shared" si="3"/>
        <v>2</v>
      </c>
      <c r="M23" s="15">
        <f>1130.688+1034.969</f>
        <v>2165.6570000000002</v>
      </c>
      <c r="N23" s="40">
        <f t="shared" si="4"/>
        <v>0.61689207492865161</v>
      </c>
      <c r="O23" s="53">
        <f t="shared" si="5"/>
        <v>4</v>
      </c>
      <c r="P23" s="15">
        <f>525.727+M23+102.523+34.556+0.034</f>
        <v>2828.4970000000003</v>
      </c>
      <c r="Q23" s="74">
        <f t="shared" si="20"/>
        <v>0.80570348086491372</v>
      </c>
      <c r="R23" s="41">
        <f t="shared" si="6"/>
        <v>4</v>
      </c>
      <c r="S23" s="15">
        <f>294.477+23.1</f>
        <v>317.577</v>
      </c>
      <c r="T23" s="40">
        <f t="shared" si="7"/>
        <v>9.0462494513035258E-2</v>
      </c>
      <c r="U23" s="41">
        <f t="shared" si="8"/>
        <v>4</v>
      </c>
      <c r="V23" s="15">
        <f>231.043+M23+102.523</f>
        <v>2499.2230000000004</v>
      </c>
      <c r="W23" s="40">
        <f t="shared" si="9"/>
        <v>0.71190907063279629</v>
      </c>
      <c r="X23" s="41">
        <f t="shared" si="10"/>
        <v>3</v>
      </c>
      <c r="Y23" s="15">
        <v>1436.336</v>
      </c>
      <c r="Z23" s="39">
        <v>289.625</v>
      </c>
      <c r="AA23" s="40">
        <f t="shared" si="11"/>
        <v>0.20164153791313452</v>
      </c>
      <c r="AB23" s="41">
        <f t="shared" si="12"/>
        <v>3</v>
      </c>
      <c r="AC23" s="57">
        <f t="shared" si="13"/>
        <v>3.4285714285714284</v>
      </c>
      <c r="AD23" s="86">
        <f t="shared" si="14"/>
        <v>3</v>
      </c>
      <c r="AE23" s="58">
        <v>2</v>
      </c>
      <c r="AF23" s="59">
        <f t="shared" si="15"/>
        <v>6</v>
      </c>
      <c r="AG23" s="60">
        <f t="shared" si="16"/>
        <v>3</v>
      </c>
      <c r="AH23" s="64">
        <v>3</v>
      </c>
      <c r="AI23" s="23">
        <v>1</v>
      </c>
      <c r="AJ23" s="48">
        <v>6</v>
      </c>
      <c r="AK23" s="23">
        <f t="shared" si="17"/>
        <v>6</v>
      </c>
      <c r="AL23" s="96">
        <f t="shared" si="18"/>
        <v>2</v>
      </c>
    </row>
    <row r="24" spans="1:38" ht="15" x14ac:dyDescent="0.2">
      <c r="A24" s="34">
        <v>23</v>
      </c>
      <c r="B24" s="47" t="s">
        <v>61</v>
      </c>
      <c r="C24" s="15">
        <v>8797.7000000000007</v>
      </c>
      <c r="D24" s="39">
        <v>3556.8110000000001</v>
      </c>
      <c r="E24" s="39">
        <v>3448.5309999999999</v>
      </c>
      <c r="F24" s="39">
        <v>6.1180000000000003</v>
      </c>
      <c r="G24" s="39">
        <v>72</v>
      </c>
      <c r="H24" s="40">
        <f t="shared" si="0"/>
        <v>0.39198097229957823</v>
      </c>
      <c r="I24" s="41">
        <f t="shared" si="1"/>
        <v>4</v>
      </c>
      <c r="J24" s="15">
        <v>469.95800000000003</v>
      </c>
      <c r="K24" s="40">
        <f t="shared" si="2"/>
        <v>0.13627773681025343</v>
      </c>
      <c r="L24" s="41">
        <f t="shared" si="3"/>
        <v>2</v>
      </c>
      <c r="M24" s="15">
        <v>2232.8560000000002</v>
      </c>
      <c r="N24" s="40">
        <f t="shared" si="4"/>
        <v>0.6474803329301666</v>
      </c>
      <c r="O24" s="53">
        <f t="shared" si="5"/>
        <v>4</v>
      </c>
      <c r="P24" s="15">
        <f>693.54+M24</f>
        <v>2926.3960000000002</v>
      </c>
      <c r="Q24" s="74">
        <f t="shared" si="20"/>
        <v>0.84859205267402271</v>
      </c>
      <c r="R24" s="41">
        <f t="shared" si="6"/>
        <v>4</v>
      </c>
      <c r="S24" s="15">
        <v>190.839</v>
      </c>
      <c r="T24" s="40">
        <f t="shared" si="7"/>
        <v>5.5339215451448751E-2</v>
      </c>
      <c r="U24" s="41">
        <f t="shared" si="8"/>
        <v>4</v>
      </c>
      <c r="V24" s="15">
        <f>370.379+M24</f>
        <v>2603.2350000000001</v>
      </c>
      <c r="W24" s="40">
        <f t="shared" si="9"/>
        <v>0.7548822962588998</v>
      </c>
      <c r="X24" s="41">
        <f t="shared" si="10"/>
        <v>3</v>
      </c>
      <c r="Y24" s="15">
        <v>2788.0230000000001</v>
      </c>
      <c r="Z24" s="39">
        <v>194.31899999999999</v>
      </c>
      <c r="AA24" s="40">
        <f t="shared" si="11"/>
        <v>6.9697775090090716E-2</v>
      </c>
      <c r="AB24" s="41">
        <f t="shared" si="12"/>
        <v>2</v>
      </c>
      <c r="AC24" s="57">
        <f t="shared" si="13"/>
        <v>3.2857142857142856</v>
      </c>
      <c r="AD24" s="86">
        <f t="shared" si="14"/>
        <v>3</v>
      </c>
      <c r="AE24" s="58">
        <v>2</v>
      </c>
      <c r="AF24" s="59">
        <f t="shared" si="15"/>
        <v>6</v>
      </c>
      <c r="AG24" s="60">
        <f t="shared" si="16"/>
        <v>3</v>
      </c>
      <c r="AH24" s="64">
        <v>3</v>
      </c>
      <c r="AI24" s="23">
        <v>1</v>
      </c>
      <c r="AJ24" s="48">
        <v>6</v>
      </c>
      <c r="AK24" s="23">
        <f t="shared" si="17"/>
        <v>6</v>
      </c>
      <c r="AL24" s="96">
        <f t="shared" si="18"/>
        <v>2</v>
      </c>
    </row>
    <row r="25" spans="1:38" ht="15" x14ac:dyDescent="0.2">
      <c r="A25" s="34">
        <v>24</v>
      </c>
      <c r="B25" s="47" t="s">
        <v>62</v>
      </c>
      <c r="C25" s="15">
        <v>8600.08</v>
      </c>
      <c r="D25" s="39">
        <v>2923.17</v>
      </c>
      <c r="E25" s="39">
        <v>2876.317</v>
      </c>
      <c r="F25" s="39">
        <v>0</v>
      </c>
      <c r="G25" s="39">
        <v>70</v>
      </c>
      <c r="H25" s="40">
        <f t="shared" si="0"/>
        <v>0.33445235393159134</v>
      </c>
      <c r="I25" s="41">
        <f t="shared" si="1"/>
        <v>4</v>
      </c>
      <c r="J25" s="15">
        <v>914.57399999999996</v>
      </c>
      <c r="K25" s="40">
        <f t="shared" si="2"/>
        <v>0.31796703909895885</v>
      </c>
      <c r="L25" s="41">
        <f t="shared" si="3"/>
        <v>4</v>
      </c>
      <c r="M25" s="15">
        <v>950.33</v>
      </c>
      <c r="N25" s="40">
        <f t="shared" si="4"/>
        <v>0.33039821410505171</v>
      </c>
      <c r="O25" s="53">
        <f t="shared" si="5"/>
        <v>3</v>
      </c>
      <c r="P25" s="15">
        <f>818.411+M25</f>
        <v>1768.741</v>
      </c>
      <c r="Q25" s="74">
        <f>P25/D25</f>
        <v>0.60507633835869956</v>
      </c>
      <c r="R25" s="41">
        <f t="shared" si="6"/>
        <v>4</v>
      </c>
      <c r="S25" s="15">
        <v>433.05200000000002</v>
      </c>
      <c r="T25" s="40">
        <f t="shared" si="7"/>
        <v>0.15055781403788249</v>
      </c>
      <c r="U25" s="41">
        <f t="shared" si="8"/>
        <v>3</v>
      </c>
      <c r="V25" s="15">
        <f>758.553+M25</f>
        <v>1708.883</v>
      </c>
      <c r="W25" s="40">
        <f t="shared" si="9"/>
        <v>0.59412192745097292</v>
      </c>
      <c r="X25" s="41">
        <f t="shared" si="10"/>
        <v>3</v>
      </c>
      <c r="Y25" s="15">
        <v>1816.8920000000001</v>
      </c>
      <c r="Z25" s="39">
        <v>769.34</v>
      </c>
      <c r="AA25" s="40">
        <f t="shared" si="11"/>
        <v>0.42343738648197032</v>
      </c>
      <c r="AB25" s="41">
        <f t="shared" si="12"/>
        <v>4</v>
      </c>
      <c r="AC25" s="57">
        <f t="shared" si="13"/>
        <v>3.5714285714285716</v>
      </c>
      <c r="AD25" s="86">
        <f t="shared" si="14"/>
        <v>4</v>
      </c>
      <c r="AE25" s="58">
        <v>2</v>
      </c>
      <c r="AF25" s="59">
        <f t="shared" si="15"/>
        <v>8</v>
      </c>
      <c r="AG25" s="60">
        <f t="shared" si="16"/>
        <v>3</v>
      </c>
      <c r="AH25" s="64">
        <v>3</v>
      </c>
      <c r="AI25" s="23">
        <v>1</v>
      </c>
      <c r="AJ25" s="48">
        <v>6</v>
      </c>
      <c r="AK25" s="23">
        <f t="shared" si="17"/>
        <v>6</v>
      </c>
      <c r="AL25" s="96">
        <f t="shared" si="18"/>
        <v>2</v>
      </c>
    </row>
    <row r="26" spans="1:38" ht="15" x14ac:dyDescent="0.2">
      <c r="A26" s="34">
        <v>25</v>
      </c>
      <c r="B26" s="47" t="s">
        <v>63</v>
      </c>
      <c r="C26" s="15">
        <v>3738.95</v>
      </c>
      <c r="D26" s="39">
        <f>2354.048+134.417</f>
        <v>2488.4649999999997</v>
      </c>
      <c r="E26" s="39">
        <f>2274.783+132.795</f>
        <v>2407.578</v>
      </c>
      <c r="F26" s="39">
        <v>18.253</v>
      </c>
      <c r="G26" s="39">
        <v>65</v>
      </c>
      <c r="H26" s="40">
        <f t="shared" si="0"/>
        <v>0.64391821233233937</v>
      </c>
      <c r="I26" s="41">
        <f t="shared" si="1"/>
        <v>4</v>
      </c>
      <c r="J26" s="15">
        <v>104.563</v>
      </c>
      <c r="K26" s="40">
        <f t="shared" si="2"/>
        <v>4.3430783966293095E-2</v>
      </c>
      <c r="L26" s="41">
        <f t="shared" si="3"/>
        <v>1</v>
      </c>
      <c r="M26" s="15">
        <f>1642+132.495</f>
        <v>1774.4949999999999</v>
      </c>
      <c r="N26" s="40">
        <f t="shared" si="4"/>
        <v>0.73704569488506699</v>
      </c>
      <c r="O26" s="53">
        <f t="shared" si="5"/>
        <v>4</v>
      </c>
      <c r="P26" s="15">
        <f>M26+588.519</f>
        <v>2363.0140000000001</v>
      </c>
      <c r="Q26" s="74">
        <f>P26/E26</f>
        <v>0.98149011163916611</v>
      </c>
      <c r="R26" s="41">
        <f t="shared" si="6"/>
        <v>4</v>
      </c>
      <c r="S26" s="15">
        <v>187.24100000000001</v>
      </c>
      <c r="T26" s="40">
        <f t="shared" si="7"/>
        <v>7.7771519759692112E-2</v>
      </c>
      <c r="U26" s="41">
        <f t="shared" si="8"/>
        <v>4</v>
      </c>
      <c r="V26" s="15">
        <f>M26+241.035</f>
        <v>2015.53</v>
      </c>
      <c r="W26" s="40">
        <f t="shared" si="9"/>
        <v>0.83716083134170527</v>
      </c>
      <c r="X26" s="41">
        <f t="shared" si="10"/>
        <v>4</v>
      </c>
      <c r="Y26" s="15">
        <v>2021.9949999999999</v>
      </c>
      <c r="Z26" s="39">
        <v>103.97</v>
      </c>
      <c r="AA26" s="40">
        <f t="shared" si="11"/>
        <v>5.1419513895929518E-2</v>
      </c>
      <c r="AB26" s="41">
        <f t="shared" si="12"/>
        <v>2</v>
      </c>
      <c r="AC26" s="57">
        <f t="shared" si="13"/>
        <v>3.2857142857142856</v>
      </c>
      <c r="AD26" s="86">
        <f t="shared" si="14"/>
        <v>3</v>
      </c>
      <c r="AE26" s="58">
        <v>2</v>
      </c>
      <c r="AF26" s="59">
        <f t="shared" si="15"/>
        <v>6</v>
      </c>
      <c r="AG26" s="60">
        <f t="shared" si="16"/>
        <v>3</v>
      </c>
      <c r="AH26" s="64">
        <v>3</v>
      </c>
      <c r="AI26" s="23">
        <v>1</v>
      </c>
      <c r="AJ26" s="48">
        <v>6</v>
      </c>
      <c r="AK26" s="23">
        <f t="shared" si="17"/>
        <v>6</v>
      </c>
      <c r="AL26" s="96">
        <f t="shared" si="18"/>
        <v>2</v>
      </c>
    </row>
    <row r="27" spans="1:38" ht="15.75" thickBot="1" x14ac:dyDescent="0.25">
      <c r="A27" s="37">
        <v>26</v>
      </c>
      <c r="B27" s="51" t="s">
        <v>64</v>
      </c>
      <c r="C27" s="44">
        <v>8155.45</v>
      </c>
      <c r="D27" s="52">
        <v>3218.0309999999999</v>
      </c>
      <c r="E27" s="52">
        <v>3163.826</v>
      </c>
      <c r="F27" s="52">
        <v>0</v>
      </c>
      <c r="G27" s="52">
        <v>62</v>
      </c>
      <c r="H27" s="45">
        <f t="shared" si="0"/>
        <v>0.38794008914284311</v>
      </c>
      <c r="I27" s="46">
        <f t="shared" si="1"/>
        <v>4</v>
      </c>
      <c r="J27" s="44">
        <v>174.58099999999999</v>
      </c>
      <c r="K27" s="45">
        <f t="shared" si="2"/>
        <v>5.5180341776064797E-2</v>
      </c>
      <c r="L27" s="46">
        <f t="shared" si="3"/>
        <v>2</v>
      </c>
      <c r="M27" s="44">
        <v>2280.2869999999998</v>
      </c>
      <c r="N27" s="45">
        <f t="shared" si="4"/>
        <v>0.72073717075464949</v>
      </c>
      <c r="O27" s="54">
        <f t="shared" si="5"/>
        <v>4</v>
      </c>
      <c r="P27" s="44">
        <f>659.567+M27</f>
        <v>2939.8539999999998</v>
      </c>
      <c r="Q27" s="78">
        <f>P27/D27</f>
        <v>0.91355676809825637</v>
      </c>
      <c r="R27" s="46">
        <f t="shared" si="6"/>
        <v>4</v>
      </c>
      <c r="S27" s="44">
        <v>80.203999999999994</v>
      </c>
      <c r="T27" s="45">
        <f t="shared" si="7"/>
        <v>2.5350319518203591E-2</v>
      </c>
      <c r="U27" s="46">
        <f t="shared" si="8"/>
        <v>4</v>
      </c>
      <c r="V27" s="44">
        <f>505.368+M27</f>
        <v>2785.6549999999997</v>
      </c>
      <c r="W27" s="45">
        <f t="shared" si="9"/>
        <v>0.88047035456437861</v>
      </c>
      <c r="X27" s="46">
        <f t="shared" si="10"/>
        <v>4</v>
      </c>
      <c r="Y27" s="44">
        <v>2568.8589999999999</v>
      </c>
      <c r="Z27" s="52">
        <v>426.37599999999998</v>
      </c>
      <c r="AA27" s="45">
        <f t="shared" si="11"/>
        <v>0.16597874776311194</v>
      </c>
      <c r="AB27" s="46">
        <f t="shared" si="12"/>
        <v>3</v>
      </c>
      <c r="AC27" s="57">
        <f t="shared" si="13"/>
        <v>3.5714285714285716</v>
      </c>
      <c r="AD27" s="87">
        <f t="shared" si="14"/>
        <v>4</v>
      </c>
      <c r="AE27" s="58">
        <v>2</v>
      </c>
      <c r="AF27" s="59">
        <f t="shared" si="15"/>
        <v>8</v>
      </c>
      <c r="AG27" s="61">
        <f t="shared" si="16"/>
        <v>3</v>
      </c>
      <c r="AH27" s="67">
        <v>3</v>
      </c>
      <c r="AI27" s="23">
        <v>1</v>
      </c>
      <c r="AJ27" s="48">
        <v>6</v>
      </c>
      <c r="AK27" s="23">
        <f t="shared" si="17"/>
        <v>6</v>
      </c>
      <c r="AL27" s="96">
        <f t="shared" si="18"/>
        <v>2</v>
      </c>
    </row>
    <row r="28" spans="1:38" ht="15" x14ac:dyDescent="0.2">
      <c r="T28" s="26"/>
      <c r="AJ28" s="48"/>
    </row>
  </sheetData>
  <sortState xmlns:xlrd2="http://schemas.microsoft.com/office/spreadsheetml/2017/richdata2" ref="A2:AL27">
    <sortCondition ref="A2:A27"/>
  </sortState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ecbd3a-56ed-480e-b254-4fe3d8d2e0d0" xsi:nil="true"/>
    <lcf76f155ced4ddcb4097134ff3c332f xmlns="221a2c11-8ef1-4d41-a3ac-fc306372ca6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81E5FB60A47449B728A9D59202553E" ma:contentTypeVersion="13" ma:contentTypeDescription="Create a new document." ma:contentTypeScope="" ma:versionID="605357ec7d0c42c67f8fdd9c41bffa46">
  <xsd:schema xmlns:xsd="http://www.w3.org/2001/XMLSchema" xmlns:xs="http://www.w3.org/2001/XMLSchema" xmlns:p="http://schemas.microsoft.com/office/2006/metadata/properties" xmlns:ns2="221a2c11-8ef1-4d41-a3ac-fc306372ca64" xmlns:ns3="5cecbd3a-56ed-480e-b254-4fe3d8d2e0d0" targetNamespace="http://schemas.microsoft.com/office/2006/metadata/properties" ma:root="true" ma:fieldsID="23c689e7d2afc830638bf90d061b60bc" ns2:_="" ns3:_="">
    <xsd:import namespace="221a2c11-8ef1-4d41-a3ac-fc306372ca64"/>
    <xsd:import namespace="5cecbd3a-56ed-480e-b254-4fe3d8d2e0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a2c11-8ef1-4d41-a3ac-fc306372ca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3060d91-620c-45e0-85bf-77e6cacf1a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cbd3a-56ed-480e-b254-4fe3d8d2e0d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829a585-0358-4596-9d26-6ec376afd7be}" ma:internalName="TaxCatchAll" ma:showField="CatchAllData" ma:web="5cecbd3a-56ed-480e-b254-4fe3d8d2e0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C099C1-04F3-4554-B295-016C7E6AB3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2D84F6-0DB8-4CE3-8F33-4DF0A6B47130}">
  <ds:schemaRefs>
    <ds:schemaRef ds:uri="221a2c11-8ef1-4d41-a3ac-fc306372ca64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5cecbd3a-56ed-480e-b254-4fe3d8d2e0d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6C81C37-FA02-4291-BDF9-BCDA5518C5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a2c11-8ef1-4d41-a3ac-fc306372ca64"/>
    <ds:schemaRef ds:uri="5cecbd3a-56ed-480e-b254-4fe3d8d2e0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SUSZE</vt:lpstr>
      <vt:lpstr>PODTOPIENIA</vt:lpstr>
      <vt:lpstr>POWODZIE</vt:lpstr>
      <vt:lpstr>DESZCZE NAWALNE</vt:lpstr>
      <vt:lpstr>DEGRADACJA GEBY</vt:lpstr>
      <vt:lpstr>SILNE WIATRY I BURZE</vt:lpstr>
      <vt:lpstr>KONCENTRACJA ZANIECZYSZCZEŃ POW</vt:lpstr>
      <vt:lpstr>FALE UPAŁÓW</vt:lpstr>
      <vt:lpstr>DŁUGIE OKRESY BEZOPADOWE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Magdalena Pożarycka</cp:lastModifiedBy>
  <cp:revision/>
  <dcterms:created xsi:type="dcterms:W3CDTF">2022-06-17T11:50:53Z</dcterms:created>
  <dcterms:modified xsi:type="dcterms:W3CDTF">2023-01-24T09:10:14Z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0x010100F581E5FB60A47449B728A9D59202553E</vt:lpwstr>
  </property>
  <property fmtid="{D5CDD505-2E9C-101B-9397-08002B2CF9AE}" pid="3" name="MediaServiceImageTags">
    <vt:lpwstr/>
  </property>
</Properties>
</file>